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Documentos\Work\SDP\2024\Operativo\"/>
    </mc:Choice>
  </mc:AlternateContent>
  <xr:revisionPtr revIDLastSave="0" documentId="8_{16F2682C-AE0B-493F-B905-42B7BCC32165}" xr6:coauthVersionLast="47" xr6:coauthVersionMax="47" xr10:uidLastSave="{00000000-0000-0000-0000-000000000000}"/>
  <bookViews>
    <workbookView xWindow="-108" yWindow="-108" windowWidth="23256" windowHeight="12576" xr2:uid="{00000000-000D-0000-FFFF-FFFF00000000}"/>
  </bookViews>
  <sheets>
    <sheet name="MATRIZ_MACRO" sheetId="1" r:id="rId1"/>
    <sheet name="BASE" sheetId="4" state="hidden" r:id="rId2"/>
    <sheet name="BETA_COMPR_TABLERO" sheetId="5" state="hidden" r:id="rId3"/>
  </sheets>
  <definedNames>
    <definedName name="_xlnm._FilterDatabase" localSheetId="2" hidden="1">BETA_COMPR_TABLERO!$A$1:$S$172</definedName>
    <definedName name="_xlnm._FilterDatabase" localSheetId="0" hidden="1">MATRIZ_MACRO!$A$5:$DL$1514</definedName>
    <definedName name="DATA_MATRIZ">MATRIZ_MACRO!$1:$1249</definedName>
    <definedName name="Z_0998E86F_EB22_41C7_A1D3_C8C85B32BEC2_.wvu.FilterData" localSheetId="0" hidden="1">MATRIZ_MACRO!$A$1</definedName>
    <definedName name="Z_0F980F3B_FC52_411A_9C4E_30DAD32635C3_.wvu.FilterData" localSheetId="0" hidden="1">MATRIZ_MACRO!$A$5:$BD$1249</definedName>
    <definedName name="Z_10335018_B213_4583_B860_A2ED9FA89826_.wvu.FilterData" localSheetId="0" hidden="1">MATRIZ_MACRO!$A$5:$BD$1249</definedName>
    <definedName name="Z_12F61020_C29E_4891_86AF_EBD94397FC8C_.wvu.FilterData" localSheetId="0" hidden="1">MATRIZ_MACRO!$A$5:$BD$1249</definedName>
    <definedName name="Z_1C6E979F_94BD_493C_9F19_8937AE64D7E1_.wvu.FilterData" localSheetId="0" hidden="1">MATRIZ_MACRO!$A$5:$AO$505</definedName>
    <definedName name="Z_1D80E054_8872_4587_8092_5126ED9B2C4B_.wvu.FilterData" localSheetId="0" hidden="1">MATRIZ_MACRO!$A$5:$AO$456</definedName>
    <definedName name="Z_253283F9_E5CB_4C67_93C5_53EF811F1E90_.wvu.FilterData" localSheetId="0" hidden="1">MATRIZ_MACRO!$A$1</definedName>
    <definedName name="Z_264C30CD_2A1D_4EBD_9AE9_8EE0725F3114_.wvu.FilterData" localSheetId="0" hidden="1">MATRIZ_MACRO!#REF!</definedName>
    <definedName name="Z_3D5A39F8_0DD4_4B25_A53F_A5DB6C4E662B_.wvu.FilterData" localSheetId="0" hidden="1">MATRIZ_MACRO!$A$5:$BD$1249</definedName>
    <definedName name="Z_3E49DF13_D92F_42AC_803F_C870D81917C4_.wvu.FilterData" localSheetId="0" hidden="1">MATRIZ_MACRO!$A$5:$AO$506</definedName>
    <definedName name="Z_4A375B5A_2715_418E_AD29_BFA430B9FE6C_.wvu.FilterData" localSheetId="0" hidden="1">MATRIZ_MACRO!$A$5:$BD$1249</definedName>
    <definedName name="Z_5FD45068_0A1C_44A6_A614_A34DE3DECE97_.wvu.FilterData" localSheetId="0" hidden="1">MATRIZ_MACRO!$A$5:$BD$1249</definedName>
    <definedName name="Z_62837B04_76B7_445E_8034_C8F314ECEA35_.wvu.FilterData" localSheetId="0" hidden="1">MATRIZ_MACRO!$AT$5:$BA$1249</definedName>
    <definedName name="Z_6A4AEF36_C92F_4F39_A925_7F67CE5CC19A_.wvu.FilterData" localSheetId="0" hidden="1">MATRIZ_MACRO!$A$5:$AO$505</definedName>
    <definedName name="Z_726EDFFB_547F_488A_B5AE_FD7F070447E1_.wvu.FilterData" localSheetId="0" hidden="1">MATRIZ_MACRO!$A$5:$BD$1249</definedName>
    <definedName name="Z_745E0385_25C6_4B57_AEA1_95F6DAC2421E_.wvu.FilterData" localSheetId="0" hidden="1">MATRIZ_MACRO!$A$5:$BD$1249</definedName>
    <definedName name="Z_78543D8B_3BB7_4AB1_97C5_49806AD6926A_.wvu.FilterData" localSheetId="0" hidden="1">MATRIZ_MACRO!$A$5:$BD$1249</definedName>
    <definedName name="Z_8BCE3E66_1F1F_4548_AA61_8B2E0394C9F6_.wvu.FilterData" localSheetId="0" hidden="1">MATRIZ_MACRO!$B$335:$C$659</definedName>
    <definedName name="Z_8E70848B_C6C0_46E7_A6AA_32B94CD34856_.wvu.FilterData" localSheetId="0" hidden="1">MATRIZ_MACRO!$A$5:$AO$506</definedName>
    <definedName name="Z_94A8EDBB_3FF4_4079_ACF9_CEFACFEF5D8F_.wvu.FilterData" localSheetId="0" hidden="1">MATRIZ_MACRO!$A$5:$AO$505</definedName>
    <definedName name="Z_9687CA5C_EF2D_4064_A3A2_C09F9C373055_.wvu.FilterData" localSheetId="0" hidden="1">MATRIZ_MACRO!$A$5:$BD$1249</definedName>
    <definedName name="Z_9B8DC269_B1B4_4EA3_99A1_B76D8B572F17_.wvu.FilterData" localSheetId="0" hidden="1">MATRIZ_MACRO!#REF!</definedName>
    <definedName name="Z_9B97F165_352D_4CA7_BE1D_F0786A1DC505_.wvu.FilterData" localSheetId="0" hidden="1">MATRIZ_MACRO!$A$5:$AO$505</definedName>
    <definedName name="Z_9E4BD9BF_01F1_44D6_9113_4C8E2917A20A_.wvu.FilterData" localSheetId="0" hidden="1">MATRIZ_MACRO!$A$5:$BD$1249</definedName>
    <definedName name="Z_A7C48391_0F75_4E97_8287_A91DE15525A1_.wvu.FilterData" localSheetId="0" hidden="1">MATRIZ_MACRO!$A$5:$BD$1249</definedName>
    <definedName name="Z_B63B5A75_C675_41A3_A66E_A2E8A1326B7A_.wvu.FilterData" localSheetId="0" hidden="1">MATRIZ_MACRO!$A$5:$AO$572</definedName>
    <definedName name="Z_B838C755_11C7_416C_89B7_1D0E6FE1B654_.wvu.FilterData" localSheetId="0" hidden="1">MATRIZ_MACRO!#REF!</definedName>
    <definedName name="Z_C3C76A01_D58E_4C4A_94DD_A5FAB0448A3E_.wvu.FilterData" localSheetId="0" hidden="1">MATRIZ_MACRO!$A$5:$AO$505</definedName>
    <definedName name="Z_CBC98601_95B6_43EB_8DB2_B24D9B914D67_.wvu.FilterData" localSheetId="0" hidden="1">MATRIZ_MACRO!$AQ$5:$AR$654</definedName>
    <definedName name="Z_D13C2B98_9F48_44AE_86E6_B20A4A8B9EA4_.wvu.FilterData" localSheetId="0" hidden="1">MATRIZ_MACRO!$A$5:$BD$1249</definedName>
    <definedName name="Z_E57E0A82_D9BB_485F_91DF_63724D5593A2_.wvu.FilterData" localSheetId="0" hidden="1">MATRIZ_MACRO!$A$5:$BD$1249</definedName>
    <definedName name="Z_E6A6FB97_928F_42AC_960F_BFEC30593C6F_.wvu.FilterData" localSheetId="0" hidden="1">MATRIZ_MACRO!$A$5:$BD$1249</definedName>
    <definedName name="Z_EAE5B8B2_5B54_4026_97DB_8A1758914250_.wvu.FilterData" localSheetId="0" hidden="1">MATRIZ_MACRO!$A$5:$BD$1249</definedName>
    <definedName name="Z_EEB1B4B4_D11B_426F_9EAD_4C73EDCF2511_.wvu.FilterData" localSheetId="0" hidden="1">MATRIZ_MACRO!$A$5:$BD$1249</definedName>
    <definedName name="Z_F207C096_1E65_49CC_AE0F_C4623D794CD5_.wvu.FilterData" localSheetId="0" hidden="1">MATRIZ_MACRO!$A$5:$AO$505</definedName>
  </definedNames>
  <calcPr calcId="191028"/>
  <customWorkbookViews>
    <customWorkbookView name="Filtro 17" guid="{94A8EDBB-3FF4-4079-ACF9-CEFACFEF5D8F}" maximized="1" windowWidth="0" windowHeight="0" activeSheetId="0"/>
    <customWorkbookView name="Filtro 18" guid="{264C30CD-2A1D-4EBD-9AE9-8EE0725F3114}" maximized="1" windowWidth="0" windowHeight="0" activeSheetId="0"/>
    <customWorkbookView name="Filtro 15" guid="{9B97F165-352D-4CA7-BE1D-F0786A1DC505}" maximized="1" windowWidth="0" windowHeight="0" activeSheetId="0"/>
    <customWorkbookView name="Filtro 16" guid="{C3C76A01-D58E-4C4A-94DD-A5FAB0448A3E}" maximized="1" windowWidth="0" windowHeight="0" activeSheetId="0"/>
    <customWorkbookView name="Filtro 35" guid="{EEB1B4B4-D11B-426F-9EAD-4C73EDCF2511}" maximized="1" windowWidth="0" windowHeight="0" activeSheetId="0"/>
    <customWorkbookView name="Filtro 13" guid="{0998E86F-EB22-41C7-A1D3-C8C85B32BEC2}" maximized="1" windowWidth="0" windowHeight="0" activeSheetId="0"/>
    <customWorkbookView name="Filtro 36" guid="{0F980F3B-FC52-411A-9C4E-30DAD32635C3}" maximized="1" windowWidth="0" windowHeight="0" activeSheetId="0"/>
    <customWorkbookView name="Filtro 14" guid="{253283F9-E5CB-4C67-93C5-53EF811F1E90}" maximized="1" windowWidth="0" windowHeight="0" activeSheetId="0"/>
    <customWorkbookView name="Filtro 33" guid="{E57E0A82-D9BB-485F-91DF-63724D5593A2}" maximized="1" windowWidth="0" windowHeight="0" activeSheetId="0"/>
    <customWorkbookView name="Filtro 11" guid="{6A4AEF36-C92F-4F39-A925-7F67CE5CC19A}" maximized="1" windowWidth="0" windowHeight="0" activeSheetId="0"/>
    <customWorkbookView name="Filtro 34" guid="{3D5A39F8-0DD4-4B25-A53F-A5DB6C4E662B}" maximized="1" windowWidth="0" windowHeight="0" activeSheetId="0"/>
    <customWorkbookView name="Filtro 12" guid="{EAE5B8B2-5B54-4026-97DB-8A1758914250}" maximized="1" windowWidth="0" windowHeight="0" activeSheetId="0"/>
    <customWorkbookView name="Filtro 31" guid="{5FD45068-0A1C-44A6-A614-A34DE3DECE97}" maximized="1" windowWidth="0" windowHeight="0" activeSheetId="0"/>
    <customWorkbookView name="Filtro 10" guid="{D13C2B98-9F48-44AE-86E6-B20A4A8B9EA4}" maximized="1" windowWidth="0" windowHeight="0" activeSheetId="0"/>
    <customWorkbookView name="Filtro 32" guid="{A7C48391-0F75-4E97-8287-A91DE15525A1}" maximized="1" windowWidth="0" windowHeight="0" activeSheetId="0"/>
    <customWorkbookView name="Filtro 30" guid="{726EDFFB-547F-488A-B5AE-FD7F070447E1}" maximized="1" windowWidth="0" windowHeight="0" activeSheetId="0"/>
    <customWorkbookView name="Filtro 4" guid="{E6A6FB97-928F-42AC-960F-BFEC30593C6F}" maximized="1" windowWidth="0" windowHeight="0" activeSheetId="0"/>
    <customWorkbookView name="Filtro 5" guid="{1D80E054-8872-4587-8092-5126ED9B2C4B}" maximized="1" windowWidth="0" windowHeight="0" activeSheetId="0"/>
    <customWorkbookView name="Filtro 6" guid="{10335018-B213-4583-B860-A2ED9FA89826}" maximized="1" windowWidth="0" windowHeight="0" activeSheetId="0"/>
    <customWorkbookView name="Filtro 7" guid="{4A375B5A-2715-418E-AD29-BFA430B9FE6C}" maximized="1" windowWidth="0" windowHeight="0" activeSheetId="0"/>
    <customWorkbookView name="Filtro 2" guid="{9E4BD9BF-01F1-44D6-9113-4C8E2917A20A}" maximized="1" windowWidth="0" windowHeight="0" activeSheetId="0"/>
    <customWorkbookView name="Filtro 3" guid="{62837B04-76B7-445E-8034-C8F314ECEA35}" maximized="1" windowWidth="0" windowHeight="0" activeSheetId="0"/>
    <customWorkbookView name="Filtro 28" guid="{B63B5A75-C675-41A3-A66E-A2E8A1326B7A}" maximized="1" windowWidth="0" windowHeight="0" activeSheetId="0"/>
    <customWorkbookView name="Filtro 29" guid="{CBC98601-95B6-43EB-8DB2-B24D9B914D67}" maximized="1" windowWidth="0" windowHeight="0" activeSheetId="0"/>
    <customWorkbookView name="Filtro 26" guid="{9B8DC269-B1B4-4EA3-99A1-B76D8B572F17}" maximized="1" windowWidth="0" windowHeight="0" activeSheetId="0"/>
    <customWorkbookView name="Filtro 27" guid="{B838C755-11C7-416C-89B7-1D0E6FE1B654}" maximized="1" windowWidth="0" windowHeight="0" activeSheetId="0"/>
    <customWorkbookView name="Filtro 24" guid="{9687CA5C-EF2D-4064-A3A2-C09F9C373055}" maximized="1" windowWidth="0" windowHeight="0" activeSheetId="0"/>
    <customWorkbookView name="Filtro 8" guid="{12F61020-C29E-4891-86AF-EBD94397FC8C}" maximized="1" windowWidth="0" windowHeight="0" activeSheetId="0"/>
    <customWorkbookView name="Filtro 25" guid="{745E0385-25C6-4B57-AEA1-95F6DAC2421E}" maximized="1" windowWidth="0" windowHeight="0" activeSheetId="0"/>
    <customWorkbookView name="Filtro 9" guid="{78543D8B-3BB7-4AB1-97C5-49806AD6926A}" maximized="1" windowWidth="0" windowHeight="0" activeSheetId="0"/>
    <customWorkbookView name="Filtro 22" guid="{3E49DF13-D92F-42AC-803F-C870D81917C4}" maximized="1" windowWidth="0" windowHeight="0" activeSheetId="0"/>
    <customWorkbookView name="Filtro 23" guid="{8E70848B-C6C0-46E7-A6AA-32B94CD34856}" maximized="1" windowWidth="0" windowHeight="0" activeSheetId="0"/>
    <customWorkbookView name="Filtro 20" guid="{F207C096-1E65-49CC-AE0F-C4623D794CD5}" maximized="1" windowWidth="0" windowHeight="0" activeSheetId="0"/>
    <customWorkbookView name="Filtro 21" guid="{8BCE3E66-1F1F-4548-AA61-8B2E0394C9F6}" maximized="1" windowWidth="0" windowHeight="0" activeSheetId="0"/>
    <customWorkbookView name="Filtro 19" guid="{1C6E979F-94BD-493C-9F19-8937AE64D7E1}"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239" i="1" l="1"/>
  <c r="AV1239" i="1"/>
  <c r="AC1239" i="1"/>
  <c r="V1239" i="1"/>
  <c r="O1239" i="1"/>
  <c r="AW1238" i="1"/>
  <c r="AV1238" i="1"/>
  <c r="AC1238" i="1"/>
  <c r="V1238" i="1"/>
  <c r="O1238" i="1"/>
  <c r="AW1237" i="1"/>
  <c r="AV1237" i="1"/>
  <c r="AC1237" i="1"/>
  <c r="V1237" i="1"/>
  <c r="O1237" i="1"/>
  <c r="AW1230" i="1"/>
  <c r="AV1230" i="1"/>
  <c r="AC1230" i="1"/>
  <c r="V1230" i="1"/>
  <c r="O1230" i="1"/>
  <c r="AW1236" i="1"/>
  <c r="AV1236" i="1"/>
  <c r="AC1236" i="1"/>
  <c r="V1236" i="1"/>
  <c r="O1236" i="1"/>
  <c r="AW1235" i="1"/>
  <c r="AV1235" i="1"/>
  <c r="AC1235" i="1"/>
  <c r="V1235" i="1"/>
  <c r="O1235" i="1"/>
  <c r="AW1227" i="1"/>
  <c r="AV1227" i="1"/>
  <c r="AC1227" i="1"/>
  <c r="V1227" i="1"/>
  <c r="O1227" i="1"/>
  <c r="O1215" i="1"/>
  <c r="V1215" i="1"/>
  <c r="AC1215" i="1"/>
  <c r="AV1215" i="1"/>
  <c r="AW1215" i="1"/>
  <c r="O1211" i="1"/>
  <c r="V1211" i="1"/>
  <c r="AC1211" i="1"/>
  <c r="AV1211" i="1"/>
  <c r="AW1211" i="1"/>
  <c r="AW1228" i="1"/>
  <c r="AV1228" i="1"/>
  <c r="AC1228" i="1"/>
  <c r="V1228" i="1"/>
  <c r="O1228" i="1"/>
  <c r="AW1229" i="1"/>
  <c r="AV1229" i="1"/>
  <c r="AC1229" i="1"/>
  <c r="V1229" i="1"/>
  <c r="O1229" i="1"/>
  <c r="AW1226" i="1"/>
  <c r="AV1226" i="1"/>
  <c r="AC1226" i="1"/>
  <c r="V1226" i="1"/>
  <c r="O1226" i="1"/>
  <c r="AW1246" i="1"/>
  <c r="AV1246" i="1"/>
  <c r="AC1246" i="1"/>
  <c r="V1246" i="1"/>
  <c r="O1246" i="1"/>
  <c r="AW1219" i="1"/>
  <c r="AV1219" i="1"/>
  <c r="AC1219" i="1"/>
  <c r="V1219" i="1"/>
  <c r="O1219" i="1"/>
  <c r="AC1234" i="1"/>
  <c r="V1234" i="1"/>
  <c r="O1234" i="1"/>
  <c r="AW1240" i="1"/>
  <c r="AV1240" i="1"/>
  <c r="AC1240" i="1"/>
  <c r="V1240" i="1"/>
  <c r="O1240" i="1"/>
  <c r="AW1232" i="1"/>
  <c r="AV1232" i="1"/>
  <c r="AC1232" i="1"/>
  <c r="V1232" i="1"/>
  <c r="O1232" i="1"/>
  <c r="AW1214" i="1"/>
  <c r="AV1214" i="1"/>
  <c r="AC1214" i="1"/>
  <c r="V1214" i="1"/>
  <c r="O1214" i="1"/>
  <c r="AW1233" i="1"/>
  <c r="AV1233" i="1"/>
  <c r="AC1233" i="1"/>
  <c r="V1233" i="1"/>
  <c r="O1233" i="1"/>
  <c r="AW1029" i="1"/>
  <c r="AW994" i="1"/>
  <c r="AV1223" i="1"/>
  <c r="AW1223" i="1"/>
  <c r="AC1223" i="1"/>
  <c r="V1223" i="1"/>
  <c r="O1223" i="1"/>
  <c r="AW1210" i="1"/>
  <c r="AV1210" i="1"/>
  <c r="AC1210" i="1"/>
  <c r="V1210" i="1"/>
  <c r="O1210" i="1"/>
  <c r="AW1208" i="1"/>
  <c r="AV1208" i="1"/>
  <c r="AC1208" i="1"/>
  <c r="V1208" i="1"/>
  <c r="O1208" i="1"/>
  <c r="AC1225" i="1"/>
  <c r="V1225" i="1"/>
  <c r="O1225" i="1"/>
  <c r="AW1209" i="1"/>
  <c r="AV1209" i="1"/>
  <c r="AC1209" i="1"/>
  <c r="V1209" i="1"/>
  <c r="O1209" i="1"/>
  <c r="AW1207" i="1"/>
  <c r="AV1207" i="1"/>
  <c r="AC1207" i="1"/>
  <c r="V1207" i="1"/>
  <c r="O1207" i="1"/>
  <c r="AC1217" i="1"/>
  <c r="V1217" i="1"/>
  <c r="O1217" i="1"/>
  <c r="AW1217" i="1"/>
  <c r="AV1217" i="1"/>
  <c r="AV1203" i="1"/>
  <c r="AW1203" i="1"/>
  <c r="AC1203" i="1"/>
  <c r="V1203" i="1"/>
  <c r="O1203" i="1"/>
  <c r="O1200" i="1"/>
  <c r="AC1199" i="1"/>
  <c r="V1199" i="1"/>
  <c r="O1199" i="1"/>
  <c r="AW1199" i="1"/>
  <c r="AV1199" i="1"/>
  <c r="AW1202" i="1"/>
  <c r="AV1202" i="1"/>
  <c r="AC1202" i="1"/>
  <c r="V1202" i="1"/>
  <c r="O1202" i="1"/>
  <c r="AV1196" i="1"/>
  <c r="AW1196" i="1"/>
  <c r="AC1196" i="1"/>
  <c r="V1196" i="1"/>
  <c r="O1196" i="1"/>
  <c r="AW1156" i="1"/>
  <c r="AW1154" i="1"/>
  <c r="AW1153" i="1"/>
  <c r="O1195" i="1"/>
  <c r="V1195" i="1"/>
  <c r="AC1195" i="1"/>
  <c r="AV1195" i="1"/>
  <c r="AW1195" i="1"/>
  <c r="AW1182" i="1"/>
  <c r="AW1168" i="1"/>
  <c r="AW1173" i="1"/>
  <c r="AV1173" i="1"/>
  <c r="AC1173" i="1"/>
  <c r="V1173" i="1"/>
  <c r="O1173" i="1"/>
  <c r="AW1174" i="1"/>
  <c r="AW1176" i="1"/>
  <c r="AW1172" i="1"/>
  <c r="O1175" i="1"/>
  <c r="V1175" i="1"/>
  <c r="AC1175" i="1"/>
  <c r="AV1175" i="1"/>
  <c r="AW1175" i="1"/>
  <c r="O1169" i="1"/>
  <c r="V1169" i="1"/>
  <c r="AC1169" i="1"/>
  <c r="AV1169" i="1"/>
  <c r="AW1169" i="1"/>
  <c r="O1184" i="1"/>
  <c r="V1184" i="1"/>
  <c r="AC1184" i="1"/>
  <c r="AV1184" i="1"/>
  <c r="AW1184" i="1"/>
  <c r="O1186" i="1"/>
  <c r="V1186" i="1"/>
  <c r="AC1186" i="1"/>
  <c r="AV1186" i="1"/>
  <c r="AW1186" i="1"/>
  <c r="O1183" i="1"/>
  <c r="V1183" i="1"/>
  <c r="AC1183" i="1"/>
  <c r="AV1183" i="1"/>
  <c r="AW1183" i="1"/>
  <c r="O1191" i="1"/>
  <c r="V1191" i="1"/>
  <c r="AC1191" i="1"/>
  <c r="AV1191" i="1"/>
  <c r="AW1191" i="1"/>
  <c r="O1192" i="1"/>
  <c r="V1192" i="1"/>
  <c r="AC1192" i="1"/>
  <c r="AV1192" i="1"/>
  <c r="AW1192" i="1"/>
  <c r="O1179" i="1"/>
  <c r="V1179" i="1"/>
  <c r="AC1179" i="1"/>
  <c r="AV1179" i="1"/>
  <c r="AW1179" i="1"/>
  <c r="O1194" i="1"/>
  <c r="V1194" i="1"/>
  <c r="AC1194" i="1"/>
  <c r="AV1194" i="1"/>
  <c r="AW1194" i="1"/>
  <c r="O1181" i="1"/>
  <c r="V1181" i="1"/>
  <c r="AC1181" i="1"/>
  <c r="AV1181" i="1"/>
  <c r="AW1181" i="1"/>
  <c r="O1190" i="1"/>
  <c r="V1190" i="1"/>
  <c r="AC1190" i="1"/>
  <c r="AV1190" i="1"/>
  <c r="AW1190" i="1"/>
  <c r="O1185" i="1"/>
  <c r="V1185" i="1"/>
  <c r="AC1185" i="1"/>
  <c r="AV1185" i="1"/>
  <c r="AW1185" i="1"/>
  <c r="O1187" i="1"/>
  <c r="V1187" i="1"/>
  <c r="AC1187" i="1"/>
  <c r="AV1187" i="1"/>
  <c r="AW1187" i="1"/>
  <c r="O1180" i="1"/>
  <c r="V1180" i="1"/>
  <c r="AC1180" i="1"/>
  <c r="AV1180" i="1"/>
  <c r="AW1180" i="1"/>
  <c r="O1245" i="1"/>
  <c r="V1245" i="1"/>
  <c r="AC1245" i="1"/>
  <c r="AV1245" i="1"/>
  <c r="AW1245" i="1"/>
  <c r="O1189" i="1"/>
  <c r="V1189" i="1"/>
  <c r="AC1189" i="1"/>
  <c r="AV1189" i="1"/>
  <c r="AW1189" i="1"/>
  <c r="O1193" i="1"/>
  <c r="V1193" i="1"/>
  <c r="AC1193" i="1"/>
  <c r="AV1193" i="1"/>
  <c r="AW1193" i="1"/>
  <c r="O1248" i="1"/>
  <c r="V1248" i="1"/>
  <c r="AC1248" i="1"/>
  <c r="AV1248" i="1"/>
  <c r="AW1248" i="1"/>
  <c r="O1206" i="1"/>
  <c r="V1206" i="1"/>
  <c r="AC1206" i="1"/>
  <c r="AV1206" i="1"/>
  <c r="AW1206" i="1"/>
  <c r="O1251" i="1"/>
  <c r="V1251" i="1"/>
  <c r="AC1251" i="1"/>
  <c r="AV1251" i="1"/>
  <c r="AW1251" i="1"/>
  <c r="O1198" i="1"/>
  <c r="V1198" i="1"/>
  <c r="AC1198" i="1"/>
  <c r="AV1198" i="1"/>
  <c r="AW1198" i="1"/>
  <c r="O1249" i="1"/>
  <c r="V1249" i="1"/>
  <c r="AC1249" i="1"/>
  <c r="AV1249" i="1"/>
  <c r="AW1249" i="1"/>
  <c r="O1197" i="1"/>
  <c r="V1197" i="1"/>
  <c r="AC1197" i="1"/>
  <c r="AV1197" i="1"/>
  <c r="AW1197" i="1"/>
  <c r="O1250" i="1"/>
  <c r="V1250" i="1"/>
  <c r="AC1250" i="1"/>
  <c r="AV1250" i="1"/>
  <c r="AW1250" i="1"/>
  <c r="O1231" i="1"/>
  <c r="V1231" i="1"/>
  <c r="AC1231" i="1"/>
  <c r="AV1231" i="1"/>
  <c r="AW1231" i="1"/>
  <c r="O1204" i="1"/>
  <c r="V1204" i="1"/>
  <c r="AC1204" i="1"/>
  <c r="AV1204" i="1"/>
  <c r="AW1204" i="1"/>
  <c r="O1201" i="1"/>
  <c r="V1201" i="1"/>
  <c r="AC1201" i="1"/>
  <c r="AV1201" i="1"/>
  <c r="AW1201" i="1"/>
  <c r="V1200" i="1"/>
  <c r="AC1200" i="1"/>
  <c r="AV1200" i="1"/>
  <c r="AW1200" i="1"/>
  <c r="O1218" i="1"/>
  <c r="V1218" i="1"/>
  <c r="AC1218" i="1"/>
  <c r="AW1218" i="1"/>
  <c r="O1150" i="1"/>
  <c r="V1150" i="1"/>
  <c r="AC1150" i="1"/>
  <c r="AV1150" i="1"/>
  <c r="AW1150" i="1"/>
  <c r="O1178" i="1"/>
  <c r="V1178" i="1"/>
  <c r="AC1178" i="1"/>
  <c r="AV1178" i="1"/>
  <c r="AW1178" i="1"/>
  <c r="O1205" i="1"/>
  <c r="V1205" i="1"/>
  <c r="AC1205" i="1"/>
  <c r="AV1205" i="1"/>
  <c r="AW1205" i="1"/>
  <c r="O1221" i="1"/>
  <c r="V1221" i="1"/>
  <c r="AC1221" i="1"/>
  <c r="AV1221" i="1"/>
  <c r="AW1221" i="1"/>
  <c r="O1241" i="1"/>
  <c r="V1241" i="1"/>
  <c r="AC1241" i="1"/>
  <c r="AV1241" i="1"/>
  <c r="AW1241" i="1"/>
  <c r="O1242" i="1"/>
  <c r="V1242" i="1"/>
  <c r="AC1242" i="1"/>
  <c r="AV1242" i="1"/>
  <c r="AW1242" i="1"/>
  <c r="O1247" i="1"/>
  <c r="V1247" i="1"/>
  <c r="AC1247" i="1"/>
  <c r="AV1247" i="1"/>
  <c r="AW1247" i="1"/>
  <c r="O1243" i="1"/>
  <c r="V1243" i="1"/>
  <c r="AC1243" i="1"/>
  <c r="AV1243" i="1"/>
  <c r="AW1243" i="1"/>
  <c r="O1212" i="1"/>
  <c r="V1212" i="1"/>
  <c r="AC1212" i="1"/>
  <c r="AV1212" i="1"/>
  <c r="AW1212" i="1"/>
  <c r="O1244" i="1"/>
  <c r="V1244" i="1"/>
  <c r="AC1244" i="1"/>
  <c r="AV1244" i="1"/>
  <c r="AW1244" i="1"/>
  <c r="O1224" i="1"/>
  <c r="V1224" i="1"/>
  <c r="AC1224" i="1"/>
  <c r="AV1224" i="1"/>
  <c r="AW1224" i="1"/>
  <c r="O1216" i="1"/>
  <c r="V1216" i="1"/>
  <c r="AC1216" i="1"/>
  <c r="AV1216" i="1"/>
  <c r="AW1216" i="1"/>
  <c r="O1222" i="1"/>
  <c r="V1222" i="1"/>
  <c r="AC1222" i="1"/>
  <c r="AV1222" i="1"/>
  <c r="AW1222" i="1"/>
  <c r="O1220" i="1"/>
  <c r="V1220" i="1"/>
  <c r="AC1220" i="1"/>
  <c r="AV1220" i="1"/>
  <c r="AW1220" i="1"/>
  <c r="O1213" i="1"/>
  <c r="V1213" i="1"/>
  <c r="AC1213" i="1"/>
  <c r="AV1213" i="1"/>
  <c r="AW1213" i="1"/>
  <c r="O1254" i="1"/>
  <c r="V1254" i="1"/>
  <c r="AC1254" i="1"/>
  <c r="AV1254" i="1"/>
  <c r="AW1254" i="1"/>
  <c r="O1255" i="1"/>
  <c r="V1255" i="1"/>
  <c r="AC1255" i="1"/>
  <c r="AV1255" i="1"/>
  <c r="AW1255" i="1"/>
  <c r="O1256" i="1"/>
  <c r="V1256" i="1"/>
  <c r="AC1256" i="1"/>
  <c r="AV1256" i="1"/>
  <c r="AW1256" i="1"/>
  <c r="O1257" i="1"/>
  <c r="V1257" i="1"/>
  <c r="AC1257" i="1"/>
  <c r="AV1257" i="1"/>
  <c r="AW1257" i="1"/>
  <c r="O1258" i="1"/>
  <c r="V1258" i="1"/>
  <c r="AC1258" i="1"/>
  <c r="AV1258" i="1"/>
  <c r="AW1258" i="1"/>
  <c r="O1259" i="1"/>
  <c r="V1259" i="1"/>
  <c r="AC1259" i="1"/>
  <c r="AV1259" i="1"/>
  <c r="AW1259" i="1"/>
  <c r="O1260" i="1"/>
  <c r="V1260" i="1"/>
  <c r="AC1260" i="1"/>
  <c r="AV1260" i="1"/>
  <c r="AW1260" i="1"/>
  <c r="O1261" i="1"/>
  <c r="V1261" i="1"/>
  <c r="AC1261" i="1"/>
  <c r="AV1261" i="1"/>
  <c r="AW1261" i="1"/>
  <c r="O1262" i="1"/>
  <c r="V1262" i="1"/>
  <c r="AC1262" i="1"/>
  <c r="AV1262" i="1"/>
  <c r="AW1262" i="1"/>
  <c r="O1263" i="1"/>
  <c r="V1263" i="1"/>
  <c r="AC1263" i="1"/>
  <c r="AV1263" i="1"/>
  <c r="AW1263" i="1"/>
  <c r="O1264" i="1"/>
  <c r="V1264" i="1"/>
  <c r="AC1264" i="1"/>
  <c r="AV1264" i="1"/>
  <c r="AW1264" i="1"/>
  <c r="O1265" i="1"/>
  <c r="V1265" i="1"/>
  <c r="AC1265" i="1"/>
  <c r="AV1265" i="1"/>
  <c r="AW1265" i="1"/>
  <c r="O1266" i="1"/>
  <c r="V1266" i="1"/>
  <c r="AC1266" i="1"/>
  <c r="AV1266" i="1"/>
  <c r="AW1266" i="1"/>
  <c r="O1267" i="1"/>
  <c r="V1267" i="1"/>
  <c r="AC1267" i="1"/>
  <c r="AV1267" i="1"/>
  <c r="AW1267" i="1"/>
  <c r="O1268" i="1"/>
  <c r="V1268" i="1"/>
  <c r="AC1268" i="1"/>
  <c r="AV1268" i="1"/>
  <c r="AW1268" i="1"/>
  <c r="O1269" i="1"/>
  <c r="V1269" i="1"/>
  <c r="AC1269" i="1"/>
  <c r="AV1269" i="1"/>
  <c r="AW1269" i="1"/>
  <c r="O1270" i="1"/>
  <c r="V1270" i="1"/>
  <c r="AC1270" i="1"/>
  <c r="AV1270" i="1"/>
  <c r="AW1270" i="1"/>
  <c r="O1271" i="1"/>
  <c r="V1271" i="1"/>
  <c r="AC1271" i="1"/>
  <c r="AV1271" i="1"/>
  <c r="AW1271" i="1"/>
  <c r="O1272" i="1"/>
  <c r="V1272" i="1"/>
  <c r="AC1272" i="1"/>
  <c r="AV1272" i="1"/>
  <c r="AW1272" i="1"/>
  <c r="O1273" i="1"/>
  <c r="V1273" i="1"/>
  <c r="AC1273" i="1"/>
  <c r="AV1273" i="1"/>
  <c r="AW1273" i="1"/>
  <c r="O1274" i="1"/>
  <c r="V1274" i="1"/>
  <c r="AC1274" i="1"/>
  <c r="AV1274" i="1"/>
  <c r="AW1274" i="1"/>
  <c r="O1275" i="1"/>
  <c r="V1275" i="1"/>
  <c r="AC1275" i="1"/>
  <c r="AV1275" i="1"/>
  <c r="AW1275" i="1"/>
  <c r="O1276" i="1"/>
  <c r="V1276" i="1"/>
  <c r="AC1276" i="1"/>
  <c r="AV1276" i="1"/>
  <c r="AW1276" i="1"/>
  <c r="O1277" i="1"/>
  <c r="V1277" i="1"/>
  <c r="AC1277" i="1"/>
  <c r="AV1277" i="1"/>
  <c r="AW1277" i="1"/>
  <c r="O1278" i="1"/>
  <c r="V1278" i="1"/>
  <c r="AC1278" i="1"/>
  <c r="AV1278" i="1"/>
  <c r="AW1278" i="1"/>
  <c r="O1279" i="1"/>
  <c r="V1279" i="1"/>
  <c r="AC1279" i="1"/>
  <c r="AV1279" i="1"/>
  <c r="AW1279" i="1"/>
  <c r="O1280" i="1"/>
  <c r="V1280" i="1"/>
  <c r="AC1280" i="1"/>
  <c r="AV1280" i="1"/>
  <c r="AW1280" i="1"/>
  <c r="O1281" i="1"/>
  <c r="V1281" i="1"/>
  <c r="AC1281" i="1"/>
  <c r="AV1281" i="1"/>
  <c r="AW1281" i="1"/>
  <c r="O1282" i="1"/>
  <c r="V1282" i="1"/>
  <c r="AC1282" i="1"/>
  <c r="AV1282" i="1"/>
  <c r="AW1282" i="1"/>
  <c r="O1283" i="1"/>
  <c r="V1283" i="1"/>
  <c r="AC1283" i="1"/>
  <c r="AV1283" i="1"/>
  <c r="AW1283" i="1"/>
  <c r="O1284" i="1"/>
  <c r="V1284" i="1"/>
  <c r="AC1284" i="1"/>
  <c r="AV1284" i="1"/>
  <c r="AW1284" i="1"/>
  <c r="O1285" i="1"/>
  <c r="V1285" i="1"/>
  <c r="AC1285" i="1"/>
  <c r="AV1285" i="1"/>
  <c r="AW1285" i="1"/>
  <c r="O1286" i="1"/>
  <c r="V1286" i="1"/>
  <c r="AC1286" i="1"/>
  <c r="AV1286" i="1"/>
  <c r="AW1286" i="1"/>
  <c r="O1287" i="1"/>
  <c r="V1287" i="1"/>
  <c r="AC1287" i="1"/>
  <c r="AV1287" i="1"/>
  <c r="AW1287" i="1"/>
  <c r="O1288" i="1"/>
  <c r="V1288" i="1"/>
  <c r="AC1288" i="1"/>
  <c r="AV1288" i="1"/>
  <c r="AW1288" i="1"/>
  <c r="O1289" i="1"/>
  <c r="V1289" i="1"/>
  <c r="AC1289" i="1"/>
  <c r="AV1289" i="1"/>
  <c r="AW1289" i="1"/>
  <c r="O1290" i="1"/>
  <c r="V1290" i="1"/>
  <c r="AC1290" i="1"/>
  <c r="AV1290" i="1"/>
  <c r="AW1290" i="1"/>
  <c r="O1291" i="1"/>
  <c r="V1291" i="1"/>
  <c r="AC1291" i="1"/>
  <c r="AV1291" i="1"/>
  <c r="AW1291" i="1"/>
  <c r="O1292" i="1"/>
  <c r="V1292" i="1"/>
  <c r="AC1292" i="1"/>
  <c r="AV1292" i="1"/>
  <c r="AW1292" i="1"/>
  <c r="AV1176" i="1"/>
  <c r="AC1176" i="1"/>
  <c r="V1176" i="1"/>
  <c r="O1176" i="1"/>
  <c r="AW1171" i="1"/>
  <c r="AW1161" i="1"/>
  <c r="AW1162" i="1"/>
  <c r="AW1163" i="1"/>
  <c r="AW1164" i="1"/>
  <c r="AW1165" i="1"/>
  <c r="AW1166" i="1"/>
  <c r="AW1160" i="1"/>
  <c r="AW1188" i="1"/>
  <c r="AV1188" i="1"/>
  <c r="AC1188" i="1"/>
  <c r="V1188" i="1"/>
  <c r="O1188" i="1"/>
  <c r="AV1167" i="1"/>
  <c r="AW1167" i="1"/>
  <c r="AC1167" i="1"/>
  <c r="V1167" i="1"/>
  <c r="O1167" i="1"/>
  <c r="AV1162" i="1"/>
  <c r="AC1162" i="1"/>
  <c r="V1162" i="1"/>
  <c r="O1162" i="1"/>
  <c r="AV1166" i="1"/>
  <c r="AV1172" i="1"/>
  <c r="AC1172" i="1"/>
  <c r="V1172" i="1"/>
  <c r="O1172" i="1"/>
  <c r="AV1164" i="1"/>
  <c r="AV1165" i="1"/>
  <c r="AV1168" i="1"/>
  <c r="AV1170" i="1"/>
  <c r="AV1174" i="1"/>
  <c r="AV1177" i="1"/>
  <c r="AC1174" i="1"/>
  <c r="V1174" i="1"/>
  <c r="O1174" i="1"/>
  <c r="AW1057" i="1"/>
  <c r="AW1064" i="1"/>
  <c r="AW1071" i="1"/>
  <c r="AW1081" i="1"/>
  <c r="AW1082" i="1"/>
  <c r="AW1083" i="1"/>
  <c r="AW1084" i="1"/>
  <c r="AW1087" i="1"/>
  <c r="AW1088" i="1"/>
  <c r="AW1089" i="1"/>
  <c r="AW1093" i="1"/>
  <c r="AW1095" i="1"/>
  <c r="AW1098" i="1"/>
  <c r="AW1099" i="1"/>
  <c r="AW1100" i="1"/>
  <c r="AW1104" i="1"/>
  <c r="AW1108" i="1"/>
  <c r="AW1109" i="1"/>
  <c r="AW1114" i="1"/>
  <c r="AW1110" i="1"/>
  <c r="AW1157" i="1"/>
  <c r="AV1157" i="1"/>
  <c r="AC1157" i="1"/>
  <c r="V1157" i="1"/>
  <c r="O1157" i="1"/>
  <c r="AW1155" i="1"/>
  <c r="AW1177" i="1"/>
  <c r="AW1152" i="1"/>
  <c r="AW1151" i="1"/>
  <c r="AW1149" i="1"/>
  <c r="AW1148" i="1"/>
  <c r="AW1147" i="1"/>
  <c r="AW1145" i="1"/>
  <c r="AV1163" i="1"/>
  <c r="AC1163" i="1"/>
  <c r="V1163" i="1"/>
  <c r="O1163" i="1"/>
  <c r="AV1160" i="1"/>
  <c r="AC1160" i="1"/>
  <c r="V1160" i="1"/>
  <c r="O1160" i="1"/>
  <c r="AV1151" i="1"/>
  <c r="AC1151" i="1"/>
  <c r="V1151" i="1"/>
  <c r="O1151" i="1"/>
  <c r="AV1149" i="1"/>
  <c r="AC1149" i="1"/>
  <c r="V1149" i="1"/>
  <c r="O1149" i="1"/>
  <c r="AV1155" i="1"/>
  <c r="AC1155" i="1"/>
  <c r="V1155" i="1"/>
  <c r="O1155" i="1"/>
  <c r="AW1138" i="1"/>
  <c r="AW1139" i="1"/>
  <c r="AW1140" i="1"/>
  <c r="AW1141" i="1"/>
  <c r="AW1142" i="1"/>
  <c r="AW1143" i="1"/>
  <c r="AW1170" i="1"/>
  <c r="AW1144" i="1"/>
  <c r="AV1139" i="1"/>
  <c r="AC1139" i="1"/>
  <c r="V1140" i="1"/>
  <c r="V1139" i="1"/>
  <c r="O1139" i="1"/>
  <c r="AC1177" i="1"/>
  <c r="V1177" i="1"/>
  <c r="O1177" i="1"/>
  <c r="AV1147" i="1"/>
  <c r="AC1147" i="1"/>
  <c r="V1147" i="1"/>
  <c r="O1147" i="1"/>
  <c r="O1133" i="1"/>
  <c r="O1134" i="1"/>
  <c r="AV1133" i="1"/>
  <c r="AW1133" i="1"/>
  <c r="AC1133" i="1"/>
  <c r="V1133" i="1"/>
  <c r="AV1171" i="1"/>
  <c r="AC1171" i="1"/>
  <c r="V1171" i="1"/>
  <c r="O1171" i="1"/>
  <c r="AV1136" i="1"/>
  <c r="AC1136" i="1"/>
  <c r="V1136" i="1"/>
  <c r="O1136" i="1"/>
  <c r="AV1114" i="1"/>
  <c r="AC1114" i="1"/>
  <c r="V1114" i="1"/>
  <c r="O1114" i="1"/>
  <c r="AW1073" i="1"/>
  <c r="AV1140" i="1"/>
  <c r="AC1140" i="1"/>
  <c r="O1140" i="1"/>
  <c r="AV1126" i="1"/>
  <c r="AC1126" i="1"/>
  <c r="V1126" i="1"/>
  <c r="O1126" i="1"/>
  <c r="AV1137" i="1"/>
  <c r="AC1137" i="1"/>
  <c r="V1137" i="1"/>
  <c r="O1137" i="1"/>
  <c r="AV1127" i="1"/>
  <c r="AC1127" i="1"/>
  <c r="V1127" i="1"/>
  <c r="O1127" i="1"/>
  <c r="AV1148" i="1"/>
  <c r="AC1148" i="1"/>
  <c r="V1148" i="1"/>
  <c r="O1148" i="1"/>
  <c r="AW1123" i="1"/>
  <c r="AW1124" i="1"/>
  <c r="AW1125" i="1"/>
  <c r="AC1054" i="1"/>
  <c r="V1054" i="1"/>
  <c r="AW1054" i="1"/>
  <c r="AV1054" i="1"/>
  <c r="O1054" i="1"/>
  <c r="AV1123" i="1"/>
  <c r="AC1123" i="1"/>
  <c r="V1123" i="1"/>
  <c r="O1123" i="1"/>
  <c r="AV1130" i="1"/>
  <c r="AC1130" i="1"/>
  <c r="V1130" i="1"/>
  <c r="O1130" i="1"/>
  <c r="AV887" i="1"/>
  <c r="AW887" i="1"/>
  <c r="AC887" i="1"/>
  <c r="V887" i="1"/>
  <c r="O887" i="1"/>
  <c r="AV1124" i="1"/>
  <c r="AC1124" i="1"/>
  <c r="V1124" i="1"/>
  <c r="O1124" i="1"/>
  <c r="AV1093" i="1"/>
  <c r="AC1093" i="1"/>
  <c r="V1093" i="1"/>
  <c r="O1093" i="1"/>
  <c r="AV1064" i="1"/>
  <c r="AC1064" i="1"/>
  <c r="V1064" i="1"/>
  <c r="O1064" i="1"/>
  <c r="AV869" i="1"/>
  <c r="AC869" i="1"/>
  <c r="V869" i="1"/>
  <c r="O869" i="1"/>
  <c r="AV1142" i="1"/>
  <c r="AC1142" i="1"/>
  <c r="V1142" i="1"/>
  <c r="O1142" i="1"/>
  <c r="AV1125" i="1"/>
  <c r="AC1125" i="1"/>
  <c r="V1125" i="1"/>
  <c r="O1125" i="1"/>
  <c r="AV1135" i="1"/>
  <c r="AC1135" i="1"/>
  <c r="V1135" i="1"/>
  <c r="O1135" i="1"/>
  <c r="AV1121" i="1"/>
  <c r="AC1121" i="1"/>
  <c r="V1121" i="1"/>
  <c r="O1121" i="1"/>
  <c r="O1161" i="1"/>
  <c r="AV1161" i="1"/>
  <c r="AC1161" i="1"/>
  <c r="V1161" i="1"/>
  <c r="AV1182" i="1"/>
  <c r="AC1182" i="1"/>
  <c r="V1182" i="1"/>
  <c r="O1182" i="1"/>
  <c r="AV1144" i="1"/>
  <c r="AC1144" i="1"/>
  <c r="V1144" i="1"/>
  <c r="O1144" i="1"/>
  <c r="AW1132" i="1"/>
  <c r="AV1132" i="1"/>
  <c r="AC1132" i="1"/>
  <c r="V1132" i="1"/>
  <c r="O1132" i="1"/>
  <c r="AW1116" i="1"/>
  <c r="AV1116" i="1"/>
  <c r="AC1116" i="1"/>
  <c r="V1116" i="1"/>
  <c r="O1116" i="1"/>
  <c r="AV1141" i="1"/>
  <c r="AC1141" i="1"/>
  <c r="V1141" i="1"/>
  <c r="O1141" i="1"/>
  <c r="AC1170" i="1"/>
  <c r="V1170" i="1"/>
  <c r="O1170" i="1"/>
  <c r="AV1252" i="1"/>
  <c r="AC1252" i="1"/>
  <c r="V1252" i="1"/>
  <c r="O1252" i="1"/>
  <c r="AV1156" i="1"/>
  <c r="AC1156" i="1"/>
  <c r="V1156" i="1"/>
  <c r="O1156" i="1"/>
  <c r="AV1154" i="1"/>
  <c r="AC1154" i="1"/>
  <c r="V1154" i="1"/>
  <c r="O1154" i="1"/>
  <c r="AV1153" i="1"/>
  <c r="AC1153" i="1"/>
  <c r="V1153" i="1"/>
  <c r="O1153" i="1"/>
  <c r="AV1145" i="1"/>
  <c r="AC1145" i="1"/>
  <c r="V1145" i="1"/>
  <c r="O1145" i="1"/>
  <c r="AW1112" i="1"/>
  <c r="AV1112" i="1"/>
  <c r="AC1112" i="1"/>
  <c r="V1112" i="1"/>
  <c r="O1112" i="1"/>
  <c r="AW1115" i="1"/>
  <c r="AV1115" i="1"/>
  <c r="AC1115" i="1"/>
  <c r="V1115" i="1"/>
  <c r="O1115" i="1"/>
  <c r="AW1128" i="1"/>
  <c r="AW1122" i="1"/>
  <c r="AW1120" i="1"/>
  <c r="AW1118" i="1"/>
  <c r="AW1117" i="1"/>
  <c r="AW1134" i="1"/>
  <c r="AW1113" i="1"/>
  <c r="AW1111" i="1"/>
  <c r="AW1107" i="1"/>
  <c r="AW1106" i="1"/>
  <c r="AV1106" i="1"/>
  <c r="AC1106" i="1"/>
  <c r="V1106" i="1"/>
  <c r="O1106" i="1"/>
  <c r="AV1152" i="1"/>
  <c r="AC1152" i="1"/>
  <c r="V1152" i="1"/>
  <c r="O1152" i="1"/>
  <c r="AW1096" i="1"/>
  <c r="AC1111" i="1"/>
  <c r="V1111" i="1"/>
  <c r="O1111" i="1"/>
  <c r="AV1109" i="1"/>
  <c r="AC1109" i="1"/>
  <c r="V1109" i="1"/>
  <c r="O1109" i="1"/>
  <c r="AV1134" i="1"/>
  <c r="AV1108" i="1"/>
  <c r="AC1108" i="1"/>
  <c r="V1108" i="1"/>
  <c r="O1108" i="1"/>
  <c r="AV1122" i="1"/>
  <c r="AC1122" i="1"/>
  <c r="AC1095" i="1"/>
  <c r="V1122" i="1"/>
  <c r="O1122" i="1"/>
  <c r="AV1110" i="1"/>
  <c r="AC1110" i="1"/>
  <c r="V1110" i="1"/>
  <c r="O1110" i="1"/>
  <c r="AV1146" i="1"/>
  <c r="AC1146" i="1"/>
  <c r="V1146" i="1"/>
  <c r="O1146" i="1"/>
  <c r="AV1113" i="1"/>
  <c r="AC1113" i="1"/>
  <c r="V1113" i="1"/>
  <c r="O1113" i="1"/>
  <c r="AV1104" i="1"/>
  <c r="AC1104" i="1"/>
  <c r="V1104" i="1"/>
  <c r="O1104" i="1"/>
  <c r="AV1094" i="1"/>
  <c r="AW1094" i="1"/>
  <c r="AC1094" i="1"/>
  <c r="V1094" i="1"/>
  <c r="O1094" i="1"/>
  <c r="AV1129" i="1"/>
  <c r="AC1129" i="1"/>
  <c r="V1129" i="1"/>
  <c r="O1129" i="1"/>
  <c r="AC1134" i="1"/>
  <c r="V1134" i="1"/>
  <c r="AW1103" i="1"/>
  <c r="AV1103" i="1"/>
  <c r="AC1103" i="1"/>
  <c r="V1103" i="1"/>
  <c r="O1103" i="1"/>
  <c r="V1095" i="1"/>
  <c r="O1095" i="1"/>
  <c r="AV1095" i="1"/>
  <c r="AV1118" i="1"/>
  <c r="AC1118" i="1"/>
  <c r="V1118" i="1"/>
  <c r="O1118" i="1"/>
  <c r="AW1105" i="1"/>
  <c r="AV1105" i="1"/>
  <c r="AC1105" i="1"/>
  <c r="V1105" i="1"/>
  <c r="O1105" i="1"/>
  <c r="AW978" i="1"/>
  <c r="AC1099" i="1"/>
  <c r="V1099" i="1"/>
  <c r="O1099" i="1"/>
  <c r="AV1099" i="1"/>
  <c r="AV1088" i="1"/>
  <c r="AC1088" i="1"/>
  <c r="V1088" i="1"/>
  <c r="O1088" i="1"/>
  <c r="AV1120" i="1"/>
  <c r="AC1120" i="1"/>
  <c r="V1120" i="1"/>
  <c r="O1120" i="1"/>
  <c r="AV1098" i="1"/>
  <c r="AC1098" i="1"/>
  <c r="V1098" i="1"/>
  <c r="O1098" i="1"/>
  <c r="AW1097" i="1"/>
  <c r="AV1097" i="1"/>
  <c r="AC1097" i="1"/>
  <c r="V1097" i="1"/>
  <c r="O1097" i="1"/>
  <c r="AC1100" i="1"/>
  <c r="V1100" i="1"/>
  <c r="AV1100" i="1"/>
  <c r="O1100" i="1"/>
  <c r="AV1128" i="1"/>
  <c r="AC1128" i="1"/>
  <c r="V1128" i="1"/>
  <c r="O1128" i="1"/>
  <c r="AV1089" i="1"/>
  <c r="AC1089" i="1"/>
  <c r="V1089" i="1"/>
  <c r="O1089" i="1"/>
  <c r="AV1087" i="1"/>
  <c r="AC1087" i="1"/>
  <c r="V1087" i="1"/>
  <c r="O1087" i="1"/>
  <c r="AW1078" i="1"/>
  <c r="AW1076" i="1"/>
  <c r="AW1069" i="1"/>
  <c r="AW1061" i="1"/>
  <c r="AW1159" i="1"/>
  <c r="AV1159" i="1"/>
  <c r="AC1159" i="1"/>
  <c r="V1159" i="1"/>
  <c r="O1159" i="1"/>
  <c r="AW1085" i="1"/>
  <c r="AV1085" i="1"/>
  <c r="AC1085" i="1"/>
  <c r="V1085" i="1"/>
  <c r="O1085" i="1"/>
  <c r="AW1092" i="1"/>
  <c r="AV1092" i="1"/>
  <c r="AC1092" i="1"/>
  <c r="V1092" i="1"/>
  <c r="O1092" i="1"/>
  <c r="AW1102" i="1"/>
  <c r="AV1102" i="1"/>
  <c r="AC1102" i="1"/>
  <c r="V1102" i="1"/>
  <c r="O1102" i="1"/>
  <c r="AV1082" i="1"/>
  <c r="AC1082" i="1"/>
  <c r="V1082" i="1"/>
  <c r="O1082" i="1"/>
  <c r="AV1138" i="1"/>
  <c r="AC1138" i="1"/>
  <c r="V1138" i="1"/>
  <c r="O1138" i="1"/>
  <c r="AC1077" i="1"/>
  <c r="V1077" i="1"/>
  <c r="O1077" i="1"/>
  <c r="AV1071" i="1"/>
  <c r="AC1071" i="1"/>
  <c r="V1071" i="1"/>
  <c r="O1071" i="1"/>
  <c r="AW1072" i="1"/>
  <c r="AV1072" i="1"/>
  <c r="AC1072" i="1"/>
  <c r="V1072" i="1"/>
  <c r="O1072" i="1"/>
  <c r="AW1077" i="1"/>
  <c r="AV1077" i="1"/>
  <c r="AW1062" i="1"/>
  <c r="AV1062" i="1"/>
  <c r="AC1062" i="1"/>
  <c r="V1062" i="1"/>
  <c r="O1062" i="1"/>
  <c r="AW1101" i="1"/>
  <c r="AV1101" i="1"/>
  <c r="AC1101" i="1"/>
  <c r="V1101" i="1"/>
  <c r="O1101" i="1"/>
  <c r="AW1066" i="1"/>
  <c r="AW1067" i="1"/>
  <c r="AW1068" i="1"/>
  <c r="AW1065" i="1"/>
  <c r="AW1058" i="1"/>
  <c r="AW1059" i="1"/>
  <c r="AW1053" i="1"/>
  <c r="AW1055" i="1"/>
  <c r="AW1056" i="1"/>
  <c r="AC959" i="1"/>
  <c r="V959" i="1"/>
  <c r="O959" i="1"/>
  <c r="AV959" i="1"/>
  <c r="AW959" i="1"/>
  <c r="AW1048" i="1"/>
  <c r="AW1049" i="1"/>
  <c r="AW1050" i="1"/>
  <c r="AW1051" i="1"/>
  <c r="AW1052" i="1"/>
  <c r="AW1063" i="1"/>
  <c r="AV1063" i="1"/>
  <c r="AC1063" i="1"/>
  <c r="V1063" i="1"/>
  <c r="O1063" i="1"/>
  <c r="AV1053" i="1"/>
  <c r="AC1053" i="1"/>
  <c r="V1053" i="1"/>
  <c r="O1053" i="1"/>
  <c r="AV1066" i="1"/>
  <c r="AC1066" i="1"/>
  <c r="V1066" i="1"/>
  <c r="O1066" i="1"/>
  <c r="AV1074" i="1"/>
  <c r="AW1074" i="1"/>
  <c r="AC1074" i="1"/>
  <c r="V1074" i="1"/>
  <c r="O1074" i="1"/>
  <c r="AV1081" i="1"/>
  <c r="AC1081" i="1"/>
  <c r="V1081" i="1"/>
  <c r="O1081" i="1"/>
  <c r="O1050" i="1"/>
  <c r="V1050" i="1"/>
  <c r="AC1050" i="1"/>
  <c r="AV1050" i="1"/>
  <c r="AC1057" i="1"/>
  <c r="V1057" i="1"/>
  <c r="O1057" i="1"/>
  <c r="AV1057" i="1"/>
  <c r="AW1090" i="1"/>
  <c r="AV1090" i="1"/>
  <c r="AC1090" i="1"/>
  <c r="V1090" i="1"/>
  <c r="O1090" i="1"/>
  <c r="O1049" i="1"/>
  <c r="V1049" i="1"/>
  <c r="AC1049" i="1"/>
  <c r="AV1049" i="1"/>
  <c r="AW1091" i="1"/>
  <c r="AV1091" i="1"/>
  <c r="AC1091" i="1"/>
  <c r="V1091" i="1"/>
  <c r="O1091" i="1"/>
  <c r="AC1080" i="1"/>
  <c r="V1080" i="1"/>
  <c r="O1080" i="1"/>
  <c r="AW1080" i="1"/>
  <c r="AV1080" i="1"/>
  <c r="O1083" i="1"/>
  <c r="V1083" i="1"/>
  <c r="AC1083" i="1"/>
  <c r="AV1083" i="1"/>
  <c r="AW1070" i="1"/>
  <c r="AV1070" i="1"/>
  <c r="AC1070" i="1"/>
  <c r="V1070" i="1"/>
  <c r="O1070" i="1"/>
  <c r="AW1044" i="1"/>
  <c r="AV1044" i="1"/>
  <c r="AC1044" i="1"/>
  <c r="V1044" i="1"/>
  <c r="O1044" i="1"/>
  <c r="AV1039" i="1"/>
  <c r="AV1040" i="1"/>
  <c r="AV1041" i="1"/>
  <c r="AV1042" i="1"/>
  <c r="AV1045" i="1"/>
  <c r="AV1046" i="1"/>
  <c r="AV1047" i="1"/>
  <c r="AV1048" i="1"/>
  <c r="AV1051" i="1"/>
  <c r="AV1086" i="1"/>
  <c r="AV1052" i="1"/>
  <c r="AV1055" i="1"/>
  <c r="AV1056" i="1"/>
  <c r="AV1059" i="1"/>
  <c r="AV1058" i="1"/>
  <c r="AV1060" i="1"/>
  <c r="AV1061" i="1"/>
  <c r="AV1065" i="1"/>
  <c r="AV1067" i="1"/>
  <c r="AV1068" i="1"/>
  <c r="AV1069" i="1"/>
  <c r="AV1143" i="1"/>
  <c r="AV1073" i="1"/>
  <c r="AV1075" i="1"/>
  <c r="AV1078" i="1"/>
  <c r="AV1079" i="1"/>
  <c r="AV1076" i="1"/>
  <c r="AV1084" i="1"/>
  <c r="AV1096" i="1"/>
  <c r="AV1107" i="1"/>
  <c r="AV1131" i="1"/>
  <c r="AV1117" i="1"/>
  <c r="AV1119" i="1"/>
  <c r="AV1158" i="1"/>
  <c r="AV1253" i="1"/>
  <c r="AW1047" i="1"/>
  <c r="AW1046" i="1"/>
  <c r="AW1045" i="1"/>
  <c r="AW1042" i="1"/>
  <c r="AW1041" i="1"/>
  <c r="AW1040" i="1"/>
  <c r="AW1039" i="1"/>
  <c r="AW1043" i="1"/>
  <c r="AW1038" i="1"/>
  <c r="AW1037" i="1"/>
  <c r="AW1036" i="1"/>
  <c r="AW1035" i="1"/>
  <c r="AW990" i="1"/>
  <c r="AC1068" i="1"/>
  <c r="V1068" i="1"/>
  <c r="O1068" i="1"/>
  <c r="AC1084" i="1"/>
  <c r="V1084" i="1"/>
  <c r="O1084" i="1"/>
  <c r="AW1060" i="1"/>
  <c r="AC1060" i="1"/>
  <c r="V1060" i="1"/>
  <c r="O1060" i="1"/>
  <c r="AC1042" i="1"/>
  <c r="V1042" i="1"/>
  <c r="O1042" i="1"/>
  <c r="AV934" i="1"/>
  <c r="AW1079" i="1"/>
  <c r="AC1079" i="1"/>
  <c r="V1079" i="1"/>
  <c r="O1079" i="1"/>
  <c r="AW1075" i="1"/>
  <c r="AC1075" i="1"/>
  <c r="V1075" i="1"/>
  <c r="O1075" i="1"/>
  <c r="AC1061" i="1"/>
  <c r="V1061" i="1"/>
  <c r="O1061" i="1"/>
  <c r="AC1045" i="1"/>
  <c r="V1045" i="1"/>
  <c r="O1045" i="1"/>
  <c r="O1107" i="1"/>
  <c r="V1107" i="1"/>
  <c r="AC1107" i="1"/>
  <c r="AC1076" i="1"/>
  <c r="V1076" i="1"/>
  <c r="O1076" i="1"/>
  <c r="AV1038" i="1"/>
  <c r="AC1059" i="1"/>
  <c r="V1059" i="1"/>
  <c r="O1059" i="1"/>
  <c r="O1086" i="1"/>
  <c r="V1086" i="1"/>
  <c r="AC1086" i="1"/>
  <c r="AW1086" i="1"/>
  <c r="AC1143" i="1"/>
  <c r="V1143" i="1"/>
  <c r="O1143" i="1"/>
  <c r="AC1058" i="1"/>
  <c r="V1058" i="1"/>
  <c r="O1058" i="1"/>
  <c r="AV1022" i="1"/>
  <c r="AV1036" i="1"/>
  <c r="AC1051" i="1"/>
  <c r="V1051" i="1"/>
  <c r="O1051" i="1"/>
  <c r="AV990" i="1"/>
  <c r="AC1078" i="1"/>
  <c r="V1078" i="1"/>
  <c r="O1078" i="1"/>
  <c r="AV1037" i="1"/>
  <c r="AC1037" i="1"/>
  <c r="V1037" i="1"/>
  <c r="O1037" i="1"/>
  <c r="AC1131" i="1"/>
  <c r="V1131" i="1"/>
  <c r="O1131" i="1"/>
  <c r="AC1067" i="1"/>
  <c r="V1067" i="1"/>
  <c r="O1067" i="1"/>
  <c r="AC1065" i="1"/>
  <c r="V1065" i="1"/>
  <c r="O1065" i="1"/>
  <c r="AC1048" i="1"/>
  <c r="V1048" i="1"/>
  <c r="O1048" i="1"/>
  <c r="AC1047" i="1"/>
  <c r="V1047" i="1"/>
  <c r="O1047" i="1"/>
  <c r="AW1034" i="1"/>
  <c r="AW1033" i="1"/>
  <c r="AW1032" i="1"/>
  <c r="AW1031" i="1"/>
  <c r="AW1030" i="1"/>
  <c r="AW1028" i="1"/>
  <c r="AW1027" i="1"/>
  <c r="AW1026" i="1"/>
  <c r="AW1025" i="1"/>
  <c r="AW1022" i="1"/>
  <c r="AW1021" i="1"/>
  <c r="AW1017" i="1"/>
  <c r="AW1014" i="1"/>
  <c r="AW1010" i="1"/>
  <c r="AW1009" i="1"/>
  <c r="AW1008" i="1"/>
  <c r="AV1017" i="1"/>
  <c r="AV1008" i="1"/>
  <c r="AV1019" i="1"/>
  <c r="AV1024" i="1"/>
  <c r="AC1052" i="1"/>
  <c r="V1052" i="1"/>
  <c r="O1052" i="1"/>
  <c r="AC1055" i="1"/>
  <c r="V1055" i="1"/>
  <c r="O1055" i="1"/>
  <c r="AV1006" i="1"/>
  <c r="AW981" i="1"/>
  <c r="AV981" i="1"/>
  <c r="AW975" i="1"/>
  <c r="V1046" i="1"/>
  <c r="AC1046" i="1"/>
  <c r="O1046" i="1"/>
  <c r="AC1056" i="1"/>
  <c r="V1056" i="1"/>
  <c r="O1056" i="1"/>
  <c r="AV975" i="1"/>
  <c r="AC1041" i="1"/>
  <c r="V1041" i="1"/>
  <c r="O1041" i="1"/>
  <c r="AV1031" i="1"/>
  <c r="AC1031" i="1"/>
  <c r="V1031" i="1"/>
  <c r="O1031" i="1"/>
  <c r="O1030" i="1"/>
  <c r="O1034" i="1"/>
  <c r="V1034" i="1"/>
  <c r="AC1034" i="1"/>
  <c r="AV1034" i="1"/>
  <c r="AV1011" i="1"/>
  <c r="AV1007" i="1"/>
  <c r="AV1023" i="1"/>
  <c r="AV1016" i="1"/>
  <c r="AV1018" i="1"/>
  <c r="AV998" i="1"/>
  <c r="AV991" i="1"/>
  <c r="AV1000" i="1"/>
  <c r="AV992" i="1"/>
  <c r="AV1035" i="1"/>
  <c r="AC1035" i="1"/>
  <c r="V1035" i="1"/>
  <c r="O1035" i="1"/>
  <c r="AV980" i="1"/>
  <c r="AV976" i="1"/>
  <c r="AV982" i="1"/>
  <c r="AV979" i="1"/>
  <c r="AV977" i="1"/>
  <c r="AW977" i="1"/>
  <c r="AC977" i="1"/>
  <c r="V977" i="1"/>
  <c r="O977" i="1"/>
  <c r="AV989" i="1"/>
  <c r="AV1005" i="1"/>
  <c r="AC1040" i="1"/>
  <c r="V1040" i="1"/>
  <c r="O1040" i="1"/>
  <c r="AV1004" i="1"/>
  <c r="AC1004" i="1"/>
  <c r="V1004" i="1"/>
  <c r="O1004" i="1"/>
  <c r="AV481" i="1"/>
  <c r="AC481" i="1"/>
  <c r="V481" i="1"/>
  <c r="O481" i="1"/>
  <c r="AV295" i="1"/>
  <c r="AC295" i="1"/>
  <c r="V295" i="1"/>
  <c r="O295" i="1"/>
  <c r="AC1073" i="1"/>
  <c r="V1073" i="1"/>
  <c r="O1073" i="1"/>
  <c r="AV1026" i="1"/>
  <c r="AC1026" i="1"/>
  <c r="V1026" i="1"/>
  <c r="O1026" i="1"/>
  <c r="AC1039" i="1"/>
  <c r="V1039" i="1"/>
  <c r="O1039" i="1"/>
  <c r="AV1002" i="1"/>
  <c r="AC1002" i="1"/>
  <c r="V1002" i="1"/>
  <c r="O1002" i="1"/>
  <c r="AV974" i="1"/>
  <c r="AC1096" i="1"/>
  <c r="V1096" i="1"/>
  <c r="O1096" i="1"/>
  <c r="AV997" i="1"/>
  <c r="AC997" i="1"/>
  <c r="V997" i="1"/>
  <c r="O997" i="1"/>
  <c r="AW986" i="1"/>
  <c r="AW987" i="1"/>
  <c r="AV1020" i="1"/>
  <c r="AC1020" i="1"/>
  <c r="V1020" i="1"/>
  <c r="O1020" i="1"/>
  <c r="AV984" i="1"/>
  <c r="AC984" i="1"/>
  <c r="V984" i="1"/>
  <c r="O984" i="1"/>
  <c r="AV986" i="1"/>
  <c r="AC986" i="1"/>
  <c r="V986" i="1"/>
  <c r="O986" i="1"/>
  <c r="AV1003" i="1"/>
  <c r="AC1003" i="1"/>
  <c r="V1003" i="1"/>
  <c r="O1003" i="1"/>
  <c r="V1021" i="1"/>
  <c r="AC1021" i="1"/>
  <c r="AV1021" i="1"/>
  <c r="AC1069" i="1"/>
  <c r="V1069" i="1"/>
  <c r="O1069" i="1"/>
  <c r="AV978" i="1"/>
  <c r="AC978" i="1"/>
  <c r="V978" i="1"/>
  <c r="O978" i="1"/>
  <c r="AV993" i="1"/>
  <c r="AC993" i="1"/>
  <c r="V993" i="1"/>
  <c r="O993" i="1"/>
  <c r="AV969" i="1"/>
  <c r="AV968" i="1"/>
  <c r="AV1001" i="1"/>
  <c r="AC1001" i="1"/>
  <c r="V1001" i="1"/>
  <c r="O1001" i="1"/>
  <c r="AV988" i="1"/>
  <c r="AC1015" i="1"/>
  <c r="AC988" i="1"/>
  <c r="AC963" i="1"/>
  <c r="V988" i="1"/>
  <c r="O988" i="1"/>
  <c r="AW988" i="1"/>
  <c r="AV1015" i="1"/>
  <c r="V1015" i="1"/>
  <c r="O1015" i="1"/>
  <c r="AV985" i="1"/>
  <c r="V985" i="1"/>
  <c r="V983" i="1"/>
  <c r="O985" i="1"/>
  <c r="AW985" i="1"/>
  <c r="AC985" i="1"/>
  <c r="V1117" i="1"/>
  <c r="AC1117" i="1"/>
  <c r="O1117" i="1"/>
  <c r="AV995" i="1"/>
  <c r="O1009" i="1"/>
  <c r="O1014" i="1"/>
  <c r="AC995" i="1"/>
  <c r="V995" i="1"/>
  <c r="O995" i="1"/>
  <c r="AW966" i="1"/>
  <c r="AW967" i="1"/>
  <c r="AW968" i="1"/>
  <c r="AW971" i="1"/>
  <c r="AW972" i="1"/>
  <c r="AW973" i="1"/>
  <c r="AW974" i="1"/>
  <c r="AW965" i="1"/>
  <c r="AV973" i="1"/>
  <c r="AC973" i="1"/>
  <c r="V973" i="1"/>
  <c r="O973" i="1"/>
  <c r="AV972" i="1"/>
  <c r="AC972" i="1"/>
  <c r="V972" i="1"/>
  <c r="O972" i="1"/>
  <c r="AC989" i="1"/>
  <c r="V989" i="1"/>
  <c r="O989" i="1"/>
  <c r="O974" i="1"/>
  <c r="AC974" i="1"/>
  <c r="V974" i="1"/>
  <c r="AV443" i="1"/>
  <c r="AV544" i="1"/>
  <c r="AV681" i="1"/>
  <c r="AV967" i="1"/>
  <c r="AC967" i="1"/>
  <c r="V967" i="1"/>
  <c r="O967" i="1"/>
  <c r="AV963" i="1"/>
  <c r="V963" i="1"/>
  <c r="O963" i="1"/>
  <c r="AW963" i="1"/>
  <c r="AW962" i="1"/>
  <c r="AW961" i="1"/>
  <c r="AW960" i="1"/>
  <c r="AW958" i="1"/>
  <c r="AW957" i="1"/>
  <c r="AW956" i="1"/>
  <c r="AW955" i="1"/>
  <c r="AV962" i="1"/>
  <c r="AC962" i="1"/>
  <c r="V962" i="1"/>
  <c r="O962" i="1"/>
  <c r="AC969" i="1"/>
  <c r="V969" i="1"/>
  <c r="O983" i="1"/>
  <c r="O969" i="1"/>
  <c r="AV961" i="1"/>
  <c r="AC961" i="1"/>
  <c r="O961" i="1"/>
  <c r="AV965" i="1"/>
  <c r="AC965" i="1"/>
  <c r="V965" i="1"/>
  <c r="O965" i="1"/>
  <c r="AV956" i="1"/>
  <c r="AC956" i="1"/>
  <c r="V956" i="1"/>
  <c r="O956" i="1"/>
  <c r="AV955" i="1"/>
  <c r="AC955" i="1"/>
  <c r="V955" i="1"/>
  <c r="AV983" i="1"/>
  <c r="AC983" i="1"/>
  <c r="O942" i="1"/>
  <c r="V942" i="1"/>
  <c r="AC942" i="1"/>
  <c r="AV942" i="1"/>
  <c r="AW942" i="1"/>
  <c r="AW952" i="1"/>
  <c r="AW953" i="1"/>
  <c r="AW954" i="1"/>
  <c r="AW964" i="1"/>
  <c r="AW946" i="1"/>
  <c r="AW947" i="1"/>
  <c r="AW948" i="1"/>
  <c r="AW949" i="1"/>
  <c r="AW950" i="1"/>
  <c r="AW951" i="1"/>
  <c r="AW943" i="1"/>
  <c r="AW944" i="1"/>
  <c r="AW940" i="1"/>
  <c r="AW937" i="1"/>
  <c r="AW938" i="1"/>
  <c r="AV939" i="1"/>
  <c r="AW939" i="1"/>
  <c r="AV970" i="1"/>
  <c r="AC970" i="1"/>
  <c r="V970" i="1"/>
  <c r="O970" i="1"/>
  <c r="AV994" i="1"/>
  <c r="AV954" i="1"/>
  <c r="AC954" i="1"/>
  <c r="V954" i="1"/>
  <c r="O954" i="1"/>
  <c r="AV953" i="1"/>
  <c r="AC953" i="1"/>
  <c r="V953" i="1"/>
  <c r="O953" i="1"/>
  <c r="AV949" i="1"/>
  <c r="AC949" i="1"/>
  <c r="V949" i="1"/>
  <c r="O949" i="1"/>
  <c r="AV957" i="1"/>
  <c r="AC957" i="1"/>
  <c r="V957" i="1"/>
  <c r="O957" i="1"/>
  <c r="AV951" i="1"/>
  <c r="AC951" i="1"/>
  <c r="V951" i="1"/>
  <c r="O951" i="1"/>
  <c r="AW933" i="1"/>
  <c r="AW931" i="1"/>
  <c r="AW922" i="1"/>
  <c r="AV922" i="1"/>
  <c r="AV1029" i="1"/>
  <c r="AC1029" i="1"/>
  <c r="V1029" i="1"/>
  <c r="O1029" i="1"/>
  <c r="AV940" i="1"/>
  <c r="AC940" i="1"/>
  <c r="V940" i="1"/>
  <c r="O940" i="1"/>
  <c r="AV946" i="1"/>
  <c r="AC946" i="1"/>
  <c r="V946" i="1"/>
  <c r="O946" i="1"/>
  <c r="AV938" i="1"/>
  <c r="AC938" i="1"/>
  <c r="V938" i="1"/>
  <c r="O938" i="1"/>
  <c r="AV1030" i="1"/>
  <c r="AC1030" i="1"/>
  <c r="V1030" i="1"/>
  <c r="AV1027" i="1"/>
  <c r="AC1027" i="1"/>
  <c r="V1027" i="1"/>
  <c r="AV1025" i="1"/>
  <c r="AC1025" i="1"/>
  <c r="V1025" i="1"/>
  <c r="AV1014" i="1"/>
  <c r="AC1014" i="1"/>
  <c r="V1014" i="1"/>
  <c r="AV1009" i="1"/>
  <c r="AC1009" i="1"/>
  <c r="V1009" i="1"/>
  <c r="AW914" i="1"/>
  <c r="AW915" i="1"/>
  <c r="AW929" i="1"/>
  <c r="AV929" i="1"/>
  <c r="AC929" i="1"/>
  <c r="V929" i="1"/>
  <c r="O929" i="1"/>
  <c r="AW945" i="1"/>
  <c r="AV945" i="1"/>
  <c r="AC945" i="1"/>
  <c r="V945" i="1"/>
  <c r="O945" i="1"/>
  <c r="AW930" i="1"/>
  <c r="AV930" i="1"/>
  <c r="AC930" i="1"/>
  <c r="V930" i="1"/>
  <c r="O930" i="1"/>
  <c r="AV943" i="1"/>
  <c r="AC943" i="1"/>
  <c r="V943" i="1"/>
  <c r="O943" i="1"/>
  <c r="AV900" i="1"/>
  <c r="O934" i="1"/>
  <c r="V934" i="1"/>
  <c r="AC934" i="1"/>
  <c r="AW934" i="1"/>
  <c r="AW935" i="1"/>
  <c r="AV935" i="1"/>
  <c r="AC935" i="1"/>
  <c r="V935" i="1"/>
  <c r="O935" i="1"/>
  <c r="AW925" i="1"/>
  <c r="AV925" i="1"/>
  <c r="AC925" i="1"/>
  <c r="V925" i="1"/>
  <c r="O925" i="1"/>
  <c r="O933" i="1"/>
  <c r="V933" i="1"/>
  <c r="AC933" i="1"/>
  <c r="AV933" i="1"/>
  <c r="AW921" i="1"/>
  <c r="AV921" i="1"/>
  <c r="AC921" i="1"/>
  <c r="V921" i="1"/>
  <c r="O921" i="1"/>
  <c r="AW926" i="1"/>
  <c r="AV926" i="1"/>
  <c r="AC926" i="1"/>
  <c r="V926" i="1"/>
  <c r="O926" i="1"/>
  <c r="AW920" i="1"/>
  <c r="AV920" i="1"/>
  <c r="AC920" i="1"/>
  <c r="V920" i="1"/>
  <c r="O920" i="1"/>
  <c r="AC941" i="1"/>
  <c r="V941" i="1"/>
  <c r="O941" i="1"/>
  <c r="AW941" i="1"/>
  <c r="AV941" i="1"/>
  <c r="AC936" i="1"/>
  <c r="V936" i="1"/>
  <c r="O936" i="1"/>
  <c r="AW936" i="1"/>
  <c r="AV936" i="1"/>
  <c r="AV915" i="1"/>
  <c r="AC915" i="1"/>
  <c r="V915" i="1"/>
  <c r="O915" i="1"/>
  <c r="AC910" i="1"/>
  <c r="V910" i="1"/>
  <c r="O910" i="1"/>
  <c r="AC909" i="1"/>
  <c r="V909" i="1"/>
  <c r="O909" i="1"/>
  <c r="AW909" i="1"/>
  <c r="AV909" i="1"/>
  <c r="AW910" i="1"/>
  <c r="AV910" i="1"/>
  <c r="AW996" i="1"/>
  <c r="AV996" i="1"/>
  <c r="AC996" i="1"/>
  <c r="V996" i="1"/>
  <c r="O996" i="1"/>
  <c r="AV911" i="1"/>
  <c r="AW911" i="1"/>
  <c r="AC911" i="1"/>
  <c r="V911" i="1"/>
  <c r="O911" i="1"/>
  <c r="AW923" i="1"/>
  <c r="AV923" i="1"/>
  <c r="AC923" i="1"/>
  <c r="V923" i="1"/>
  <c r="O923" i="1"/>
  <c r="AV950" i="1"/>
  <c r="AC950" i="1"/>
  <c r="V950" i="1"/>
  <c r="O950" i="1"/>
  <c r="AW908" i="1"/>
  <c r="AW907" i="1"/>
  <c r="AW906" i="1"/>
  <c r="AW904" i="1"/>
  <c r="AW905" i="1"/>
  <c r="AW903" i="1"/>
  <c r="AW902" i="1"/>
  <c r="AW901" i="1"/>
  <c r="AV914" i="1"/>
  <c r="AC914" i="1"/>
  <c r="V914" i="1"/>
  <c r="O914" i="1"/>
  <c r="AV987" i="1"/>
  <c r="AC987" i="1"/>
  <c r="V987" i="1"/>
  <c r="O987" i="1"/>
  <c r="AV958" i="1"/>
  <c r="AC958" i="1"/>
  <c r="V958" i="1"/>
  <c r="O958" i="1"/>
  <c r="AV913" i="1"/>
  <c r="AC913" i="1"/>
  <c r="V913" i="1"/>
  <c r="O913" i="1"/>
  <c r="AV895" i="1"/>
  <c r="AV907" i="1"/>
  <c r="AC907" i="1"/>
  <c r="V907" i="1"/>
  <c r="O907" i="1"/>
  <c r="AV966" i="1"/>
  <c r="AC966" i="1"/>
  <c r="V966" i="1"/>
  <c r="O966" i="1"/>
  <c r="AV952" i="1"/>
  <c r="AC952" i="1"/>
  <c r="V952" i="1"/>
  <c r="O952" i="1"/>
  <c r="AV931" i="1"/>
  <c r="AC931" i="1"/>
  <c r="V931" i="1"/>
  <c r="O931" i="1"/>
  <c r="AV906" i="1"/>
  <c r="AC906" i="1"/>
  <c r="V906" i="1"/>
  <c r="O906" i="1"/>
  <c r="AC922" i="1"/>
  <c r="V922" i="1"/>
  <c r="O922" i="1"/>
  <c r="AW918" i="1"/>
  <c r="AV918" i="1"/>
  <c r="AC918" i="1"/>
  <c r="V918" i="1"/>
  <c r="O918" i="1"/>
  <c r="AC968" i="1"/>
  <c r="V968" i="1"/>
  <c r="O968" i="1"/>
  <c r="AC994" i="1"/>
  <c r="V994" i="1"/>
  <c r="O994" i="1"/>
  <c r="AV908" i="1"/>
  <c r="AC908" i="1"/>
  <c r="V908" i="1"/>
  <c r="O908" i="1"/>
  <c r="AW898" i="1"/>
  <c r="AV898" i="1"/>
  <c r="AW897" i="1"/>
  <c r="AV897" i="1"/>
  <c r="AC897" i="1"/>
  <c r="V897" i="1"/>
  <c r="O897" i="1"/>
  <c r="AV1043" i="1"/>
  <c r="AC1043" i="1"/>
  <c r="V1043" i="1"/>
  <c r="O1043" i="1"/>
  <c r="AW928" i="1"/>
  <c r="AV928" i="1"/>
  <c r="AC928" i="1"/>
  <c r="V928" i="1"/>
  <c r="O928" i="1"/>
  <c r="AV960" i="1"/>
  <c r="AC960" i="1"/>
  <c r="V960" i="1"/>
  <c r="O960" i="1"/>
  <c r="AV905" i="1"/>
  <c r="AC905" i="1"/>
  <c r="V905" i="1"/>
  <c r="O905" i="1"/>
  <c r="AV899" i="1"/>
  <c r="AW899" i="1"/>
  <c r="V899" i="1"/>
  <c r="O899" i="1"/>
  <c r="AW896" i="1"/>
  <c r="AV896" i="1"/>
  <c r="AV892" i="1"/>
  <c r="AW892" i="1"/>
  <c r="AC892" i="1"/>
  <c r="V892" i="1"/>
  <c r="O892" i="1"/>
  <c r="AC894" i="1"/>
  <c r="V894" i="1"/>
  <c r="O894" i="1"/>
  <c r="AW894" i="1"/>
  <c r="AV894" i="1"/>
  <c r="AC895" i="1"/>
  <c r="V895" i="1"/>
  <c r="O895" i="1"/>
  <c r="AW927" i="1"/>
  <c r="AW924" i="1"/>
  <c r="AW919" i="1"/>
  <c r="AW893" i="1"/>
  <c r="AW891" i="1"/>
  <c r="AW890" i="1"/>
  <c r="AW889" i="1"/>
  <c r="AW883" i="1"/>
  <c r="AV891" i="1"/>
  <c r="AC891" i="1"/>
  <c r="V891" i="1"/>
  <c r="O891" i="1"/>
  <c r="AV889" i="1"/>
  <c r="AC889" i="1"/>
  <c r="V889" i="1"/>
  <c r="O889" i="1"/>
  <c r="O886" i="1"/>
  <c r="V886" i="1"/>
  <c r="AC886" i="1"/>
  <c r="AW886" i="1"/>
  <c r="AV886" i="1"/>
  <c r="AC885" i="1"/>
  <c r="V885" i="1"/>
  <c r="O885" i="1"/>
  <c r="AV885" i="1"/>
  <c r="AW885" i="1"/>
  <c r="AW862" i="1"/>
  <c r="AW865" i="1"/>
  <c r="AW861" i="1"/>
  <c r="AW860" i="1"/>
  <c r="AW858" i="1"/>
  <c r="AW857" i="1"/>
  <c r="AW856" i="1"/>
  <c r="AW855" i="1"/>
  <c r="AW854" i="1"/>
  <c r="AW853" i="1"/>
  <c r="AW852" i="1"/>
  <c r="AW851" i="1"/>
  <c r="AW850" i="1"/>
  <c r="AW849" i="1"/>
  <c r="AW847" i="1"/>
  <c r="AW846" i="1"/>
  <c r="AW845" i="1"/>
  <c r="AW844" i="1"/>
  <c r="AW842" i="1"/>
  <c r="AW841" i="1"/>
  <c r="AW839" i="1"/>
  <c r="AW837" i="1"/>
  <c r="AW838" i="1"/>
  <c r="AW840" i="1"/>
  <c r="AW843" i="1"/>
  <c r="AW848" i="1"/>
  <c r="AW835" i="1"/>
  <c r="AW836" i="1"/>
  <c r="AW834" i="1"/>
  <c r="AW805" i="1"/>
  <c r="AW806" i="1"/>
  <c r="AW807" i="1"/>
  <c r="AW808" i="1"/>
  <c r="AW809" i="1"/>
  <c r="AW810" i="1"/>
  <c r="AW811" i="1"/>
  <c r="AW812" i="1"/>
  <c r="AW813" i="1"/>
  <c r="AW814" i="1"/>
  <c r="AW815" i="1"/>
  <c r="AW816" i="1"/>
  <c r="AW817" i="1"/>
  <c r="AW818" i="1"/>
  <c r="AW819" i="1"/>
  <c r="AW820" i="1"/>
  <c r="AW821" i="1"/>
  <c r="AW822" i="1"/>
  <c r="AW823" i="1"/>
  <c r="AW824" i="1"/>
  <c r="AW825" i="1"/>
  <c r="AW826" i="1"/>
  <c r="AW827" i="1"/>
  <c r="AW828" i="1"/>
  <c r="AW829" i="1"/>
  <c r="AW830" i="1"/>
  <c r="AW831" i="1"/>
  <c r="AW832" i="1"/>
  <c r="AW833" i="1"/>
  <c r="AW804" i="1"/>
  <c r="AW803" i="1"/>
  <c r="AW801" i="1"/>
  <c r="AW802" i="1"/>
  <c r="AW888" i="1"/>
  <c r="AW884" i="1"/>
  <c r="AW880" i="1"/>
  <c r="AW879" i="1"/>
  <c r="AV848" i="1"/>
  <c r="AC848" i="1"/>
  <c r="V848" i="1"/>
  <c r="O848" i="1"/>
  <c r="AC882" i="1"/>
  <c r="V882" i="1"/>
  <c r="O882" i="1"/>
  <c r="AW882" i="1"/>
  <c r="AW881" i="1"/>
  <c r="AW878" i="1"/>
  <c r="AW877" i="1"/>
  <c r="AW876" i="1"/>
  <c r="AW875" i="1"/>
  <c r="AW874" i="1"/>
  <c r="AW873" i="1"/>
  <c r="AW872" i="1"/>
  <c r="AW871" i="1"/>
  <c r="AW870" i="1"/>
  <c r="AW866" i="1"/>
  <c r="AV912" i="1"/>
  <c r="AC912" i="1"/>
  <c r="V912" i="1"/>
  <c r="O912" i="1"/>
  <c r="AV881" i="1"/>
  <c r="AC881" i="1"/>
  <c r="V881" i="1"/>
  <c r="O881" i="1"/>
  <c r="AV878" i="1"/>
  <c r="AC878" i="1"/>
  <c r="V878" i="1"/>
  <c r="O878" i="1"/>
  <c r="AV890" i="1"/>
  <c r="AC890" i="1"/>
  <c r="AC888" i="1"/>
  <c r="V890" i="1"/>
  <c r="O890" i="1"/>
  <c r="AV901" i="1"/>
  <c r="AC901" i="1"/>
  <c r="V901" i="1"/>
  <c r="O901" i="1"/>
  <c r="AV964" i="1"/>
  <c r="AC964" i="1"/>
  <c r="V964" i="1"/>
  <c r="O964" i="1"/>
  <c r="AV860" i="1"/>
  <c r="AV861" i="1"/>
  <c r="AV862" i="1"/>
  <c r="AV863" i="1"/>
  <c r="AV864" i="1"/>
  <c r="AV865" i="1"/>
  <c r="AV866" i="1"/>
  <c r="AV867" i="1"/>
  <c r="AV868" i="1"/>
  <c r="AV870" i="1"/>
  <c r="AV871" i="1"/>
  <c r="AV872" i="1"/>
  <c r="AV873" i="1"/>
  <c r="AV874" i="1"/>
  <c r="AV875" i="1"/>
  <c r="AV876" i="1"/>
  <c r="AV877" i="1"/>
  <c r="AV879" i="1"/>
  <c r="AV880" i="1"/>
  <c r="AV883" i="1"/>
  <c r="AV884" i="1"/>
  <c r="AV948" i="1"/>
  <c r="AC860" i="1"/>
  <c r="AC861" i="1"/>
  <c r="AC862" i="1"/>
  <c r="AC863" i="1"/>
  <c r="AC864" i="1"/>
  <c r="AC865" i="1"/>
  <c r="AC866" i="1"/>
  <c r="AC867" i="1"/>
  <c r="AC868" i="1"/>
  <c r="AC870" i="1"/>
  <c r="AC871" i="1"/>
  <c r="AC872" i="1"/>
  <c r="AC873" i="1"/>
  <c r="AC874" i="1"/>
  <c r="AC875" i="1"/>
  <c r="AC876" i="1"/>
  <c r="AC877" i="1"/>
  <c r="AC879" i="1"/>
  <c r="AC880" i="1"/>
  <c r="AC883" i="1"/>
  <c r="AC884" i="1"/>
  <c r="AC948" i="1"/>
  <c r="V860" i="1"/>
  <c r="V861" i="1"/>
  <c r="V862" i="1"/>
  <c r="V863" i="1"/>
  <c r="V864" i="1"/>
  <c r="V865" i="1"/>
  <c r="V866" i="1"/>
  <c r="V867" i="1"/>
  <c r="V868" i="1"/>
  <c r="V870" i="1"/>
  <c r="V871" i="1"/>
  <c r="V872" i="1"/>
  <c r="V873" i="1"/>
  <c r="V874" i="1"/>
  <c r="V875" i="1"/>
  <c r="V876" i="1"/>
  <c r="V877" i="1"/>
  <c r="V879" i="1"/>
  <c r="V880" i="1"/>
  <c r="V883" i="1"/>
  <c r="V884" i="1"/>
  <c r="V948" i="1"/>
  <c r="O860" i="1"/>
  <c r="O861" i="1"/>
  <c r="O862" i="1"/>
  <c r="O863" i="1"/>
  <c r="O864" i="1"/>
  <c r="O865" i="1"/>
  <c r="O866" i="1"/>
  <c r="O867" i="1"/>
  <c r="O868" i="1"/>
  <c r="O870" i="1"/>
  <c r="O871" i="1"/>
  <c r="O872" i="1"/>
  <c r="O873" i="1"/>
  <c r="O874" i="1"/>
  <c r="O875" i="1"/>
  <c r="O876" i="1"/>
  <c r="O877" i="1"/>
  <c r="O879" i="1"/>
  <c r="O880" i="1"/>
  <c r="O883" i="1"/>
  <c r="O884" i="1"/>
  <c r="O948" i="1"/>
  <c r="AW863" i="1"/>
  <c r="AV888" i="1"/>
  <c r="V888" i="1"/>
  <c r="O888" i="1"/>
  <c r="AV917" i="1"/>
  <c r="AV916" i="1"/>
  <c r="AC916" i="1"/>
  <c r="V916" i="1"/>
  <c r="O916" i="1"/>
  <c r="AC917" i="1"/>
  <c r="V917" i="1"/>
  <c r="O917" i="1"/>
  <c r="AV904" i="1"/>
  <c r="AC904" i="1"/>
  <c r="V904" i="1"/>
  <c r="O904" i="1"/>
  <c r="AV903" i="1"/>
  <c r="AC903" i="1"/>
  <c r="V903" i="1"/>
  <c r="O903" i="1"/>
  <c r="AV902" i="1"/>
  <c r="AC902" i="1"/>
  <c r="V902" i="1"/>
  <c r="O902" i="1"/>
  <c r="AV947" i="1"/>
  <c r="AC947" i="1"/>
  <c r="V947" i="1"/>
  <c r="O947" i="1"/>
  <c r="AV932" i="1"/>
  <c r="AV893" i="1"/>
  <c r="AV937" i="1"/>
  <c r="AC937" i="1"/>
  <c r="V937" i="1"/>
  <c r="O937" i="1"/>
  <c r="AC939" i="1"/>
  <c r="V939" i="1"/>
  <c r="O939" i="1"/>
  <c r="AC932" i="1"/>
  <c r="V932" i="1"/>
  <c r="O932" i="1"/>
  <c r="AV927" i="1"/>
  <c r="AC927" i="1"/>
  <c r="V927" i="1"/>
  <c r="O927" i="1"/>
  <c r="AV924" i="1"/>
  <c r="AC924" i="1"/>
  <c r="V924" i="1"/>
  <c r="O924" i="1"/>
  <c r="AV919" i="1"/>
  <c r="AC919" i="1"/>
  <c r="V919" i="1"/>
  <c r="O919" i="1"/>
  <c r="AW864" i="1"/>
  <c r="AV859" i="1"/>
  <c r="AV850" i="1"/>
  <c r="AV851" i="1"/>
  <c r="AC850" i="1"/>
  <c r="V850" i="1"/>
  <c r="O850" i="1"/>
  <c r="AC851" i="1"/>
  <c r="V851" i="1"/>
  <c r="O851" i="1"/>
  <c r="AV846" i="1"/>
  <c r="AV845" i="1"/>
  <c r="AC846" i="1"/>
  <c r="V846" i="1"/>
  <c r="O846" i="1"/>
  <c r="AV844" i="1"/>
  <c r="AV843" i="1"/>
  <c r="AC845" i="1"/>
  <c r="V845" i="1"/>
  <c r="O845" i="1"/>
  <c r="AC844" i="1"/>
  <c r="V844" i="1"/>
  <c r="O844" i="1"/>
  <c r="AC893" i="1"/>
  <c r="V893" i="1"/>
  <c r="O893" i="1"/>
  <c r="AC840" i="1"/>
  <c r="V840" i="1"/>
  <c r="O840" i="1"/>
  <c r="AV840" i="1"/>
  <c r="AC859" i="1"/>
  <c r="V859" i="1"/>
  <c r="O859" i="1"/>
  <c r="AV857" i="1"/>
  <c r="AC857" i="1"/>
  <c r="V857" i="1"/>
  <c r="O857" i="1"/>
  <c r="AV855" i="1"/>
  <c r="AV856" i="1"/>
  <c r="AV858" i="1"/>
  <c r="AC858" i="1"/>
  <c r="V858" i="1"/>
  <c r="O858" i="1"/>
  <c r="AC855" i="1"/>
  <c r="V855" i="1"/>
  <c r="O855" i="1"/>
  <c r="AV853" i="1"/>
  <c r="AC856" i="1"/>
  <c r="V856" i="1"/>
  <c r="O856" i="1"/>
  <c r="AC853" i="1"/>
  <c r="V853" i="1"/>
  <c r="O853" i="1"/>
  <c r="AV854" i="1"/>
  <c r="AV852" i="1"/>
  <c r="AC854" i="1"/>
  <c r="V854" i="1"/>
  <c r="O854" i="1"/>
  <c r="AC852" i="1"/>
  <c r="V852" i="1"/>
  <c r="O852" i="1"/>
  <c r="AV849" i="1"/>
  <c r="AC849" i="1"/>
  <c r="V849" i="1"/>
  <c r="O849" i="1"/>
  <c r="AV842" i="1"/>
  <c r="AC842" i="1"/>
  <c r="V842" i="1"/>
  <c r="O842" i="1"/>
  <c r="AV847" i="1"/>
  <c r="AV1028" i="1"/>
  <c r="AV841" i="1"/>
  <c r="AV837" i="1"/>
  <c r="AV834" i="1"/>
  <c r="AC1028" i="1"/>
  <c r="V1028" i="1"/>
  <c r="O1028" i="1"/>
  <c r="AC847" i="1"/>
  <c r="V847" i="1"/>
  <c r="O847" i="1"/>
  <c r="AC841" i="1"/>
  <c r="V841" i="1"/>
  <c r="O841" i="1"/>
  <c r="AC837" i="1"/>
  <c r="V837" i="1"/>
  <c r="O837" i="1"/>
  <c r="AC834" i="1"/>
  <c r="V834" i="1"/>
  <c r="O834" i="1"/>
  <c r="AV838" i="1"/>
  <c r="AV839" i="1"/>
  <c r="AV823" i="1"/>
  <c r="AV824" i="1"/>
  <c r="AV825" i="1"/>
  <c r="AV826" i="1"/>
  <c r="AV827" i="1"/>
  <c r="AV828" i="1"/>
  <c r="AV829" i="1"/>
  <c r="AV830" i="1"/>
  <c r="AV831" i="1"/>
  <c r="AV832" i="1"/>
  <c r="AV833" i="1"/>
  <c r="AV835" i="1"/>
  <c r="AV836" i="1"/>
  <c r="AV805" i="1"/>
  <c r="AV806" i="1"/>
  <c r="AV807" i="1"/>
  <c r="AV808" i="1"/>
  <c r="AV809" i="1"/>
  <c r="AV810" i="1"/>
  <c r="AV811" i="1"/>
  <c r="AV812" i="1"/>
  <c r="AV813" i="1"/>
  <c r="AV814" i="1"/>
  <c r="AV815" i="1"/>
  <c r="AV816" i="1"/>
  <c r="AV817" i="1"/>
  <c r="AV818" i="1"/>
  <c r="AV819" i="1"/>
  <c r="AV820" i="1"/>
  <c r="AV821" i="1"/>
  <c r="AV822" i="1"/>
  <c r="AV804" i="1"/>
  <c r="AV803" i="1"/>
  <c r="AV802" i="1"/>
  <c r="AC839" i="1"/>
  <c r="V839" i="1"/>
  <c r="O839" i="1"/>
  <c r="AC835" i="1"/>
  <c r="AC802" i="1"/>
  <c r="O802" i="1"/>
  <c r="O835" i="1"/>
  <c r="V802" i="1"/>
  <c r="V835" i="1"/>
  <c r="AV801" i="1"/>
  <c r="AC801" i="1"/>
  <c r="V801" i="1"/>
  <c r="O801" i="1"/>
  <c r="AC803" i="1"/>
  <c r="V803" i="1"/>
  <c r="O803" i="1"/>
  <c r="AW800" i="1"/>
  <c r="AV800" i="1"/>
  <c r="AC800" i="1"/>
  <c r="V800" i="1"/>
  <c r="O800" i="1"/>
  <c r="V799" i="1"/>
  <c r="AC799" i="1"/>
  <c r="AW799" i="1"/>
  <c r="AV799" i="1"/>
  <c r="O799" i="1"/>
  <c r="AC843" i="1"/>
  <c r="V843" i="1"/>
  <c r="O843" i="1"/>
  <c r="AC838" i="1"/>
  <c r="V838" i="1"/>
  <c r="O838" i="1"/>
  <c r="AC836" i="1"/>
  <c r="V836" i="1"/>
  <c r="O836" i="1"/>
  <c r="AV797" i="1"/>
  <c r="AW797" i="1"/>
  <c r="AC797" i="1"/>
  <c r="V797" i="1"/>
  <c r="O797" i="1"/>
  <c r="O798" i="1"/>
  <c r="AV798" i="1"/>
  <c r="AW798" i="1"/>
  <c r="AC798" i="1"/>
  <c r="V798" i="1"/>
  <c r="AW789" i="1"/>
  <c r="AV789" i="1"/>
  <c r="AC789" i="1"/>
  <c r="V789" i="1"/>
  <c r="O789" i="1"/>
  <c r="AC791" i="1"/>
  <c r="V791" i="1"/>
  <c r="O791" i="1"/>
  <c r="AW791" i="1"/>
  <c r="AV791" i="1"/>
  <c r="AW794" i="1"/>
  <c r="AV794" i="1"/>
  <c r="AC794" i="1"/>
  <c r="V794" i="1"/>
  <c r="O794" i="1"/>
  <c r="AW790" i="1"/>
  <c r="AV790" i="1"/>
  <c r="AC790" i="1"/>
  <c r="V790" i="1"/>
  <c r="O790" i="1"/>
  <c r="AW779" i="1"/>
  <c r="AV779" i="1"/>
  <c r="AC779" i="1"/>
  <c r="V779" i="1"/>
  <c r="O779" i="1"/>
  <c r="AV971" i="1"/>
  <c r="AC971" i="1"/>
  <c r="V971" i="1"/>
  <c r="O971" i="1"/>
  <c r="AC786" i="1"/>
  <c r="V786" i="1"/>
  <c r="O786" i="1"/>
  <c r="AW786" i="1"/>
  <c r="AV786" i="1"/>
  <c r="AW796" i="1"/>
  <c r="AV796" i="1"/>
  <c r="AC796" i="1"/>
  <c r="V796" i="1"/>
  <c r="O796" i="1"/>
  <c r="AC778" i="1"/>
  <c r="V778" i="1"/>
  <c r="O778" i="1"/>
  <c r="AW778" i="1"/>
  <c r="AV778" i="1"/>
  <c r="V776" i="1"/>
  <c r="O776" i="1"/>
  <c r="AV776" i="1"/>
  <c r="AW776" i="1"/>
  <c r="AC776" i="1"/>
  <c r="AC833" i="1"/>
  <c r="V833" i="1"/>
  <c r="O833" i="1"/>
  <c r="AC832" i="1"/>
  <c r="V832" i="1"/>
  <c r="O832" i="1"/>
  <c r="AC831" i="1"/>
  <c r="V831" i="1"/>
  <c r="O831" i="1"/>
  <c r="AC830" i="1"/>
  <c r="V830" i="1"/>
  <c r="O830" i="1"/>
  <c r="V829" i="1"/>
  <c r="AC829" i="1"/>
  <c r="O829" i="1"/>
  <c r="AC828" i="1"/>
  <c r="V828" i="1"/>
  <c r="O828" i="1"/>
  <c r="V827" i="1"/>
  <c r="AC827" i="1"/>
  <c r="O827" i="1"/>
  <c r="AC826" i="1"/>
  <c r="V826" i="1"/>
  <c r="O826" i="1"/>
  <c r="AC825" i="1"/>
  <c r="V825" i="1"/>
  <c r="O825" i="1"/>
  <c r="AC824" i="1"/>
  <c r="V824" i="1"/>
  <c r="O824" i="1"/>
  <c r="AC823" i="1"/>
  <c r="V823" i="1"/>
  <c r="O823" i="1"/>
  <c r="AC822" i="1"/>
  <c r="V822" i="1"/>
  <c r="O822" i="1"/>
  <c r="AC821" i="1"/>
  <c r="V821" i="1"/>
  <c r="O821" i="1"/>
  <c r="AC820" i="1"/>
  <c r="V820" i="1"/>
  <c r="O820" i="1"/>
  <c r="AC819" i="1"/>
  <c r="V819" i="1"/>
  <c r="O819" i="1"/>
  <c r="V818" i="1"/>
  <c r="AC818" i="1"/>
  <c r="O818" i="1"/>
  <c r="AC817" i="1"/>
  <c r="V817" i="1"/>
  <c r="O817" i="1"/>
  <c r="AC816" i="1"/>
  <c r="V816" i="1"/>
  <c r="O816" i="1"/>
  <c r="AC815" i="1"/>
  <c r="V815" i="1"/>
  <c r="O815" i="1"/>
  <c r="AC814" i="1"/>
  <c r="V814" i="1"/>
  <c r="O814" i="1"/>
  <c r="AC813" i="1"/>
  <c r="V813" i="1"/>
  <c r="O813" i="1"/>
  <c r="V812" i="1"/>
  <c r="AC812" i="1"/>
  <c r="O812" i="1"/>
  <c r="AC811" i="1"/>
  <c r="V811" i="1"/>
  <c r="O811" i="1"/>
  <c r="O809" i="1"/>
  <c r="O810" i="1"/>
  <c r="O808" i="1"/>
  <c r="AC810" i="1"/>
  <c r="V810" i="1"/>
  <c r="V809" i="1"/>
  <c r="O774" i="1"/>
  <c r="AV774" i="1"/>
  <c r="AW774" i="1"/>
  <c r="AC774" i="1"/>
  <c r="V774" i="1"/>
  <c r="AC807" i="1"/>
  <c r="V807" i="1"/>
  <c r="O807" i="1"/>
  <c r="V806" i="1"/>
  <c r="O806" i="1"/>
  <c r="V805" i="1"/>
  <c r="O805" i="1"/>
  <c r="AC805" i="1"/>
  <c r="AC804" i="1"/>
  <c r="V804" i="1"/>
  <c r="O804" i="1"/>
  <c r="AW772" i="1"/>
  <c r="AV772" i="1"/>
  <c r="AC772" i="1"/>
  <c r="V772" i="1"/>
  <c r="O772" i="1"/>
  <c r="AW767" i="1"/>
  <c r="AW768" i="1"/>
  <c r="AV768" i="1"/>
  <c r="AC768" i="1"/>
  <c r="V768" i="1"/>
  <c r="O768" i="1"/>
  <c r="AW766" i="1"/>
  <c r="AV766" i="1"/>
  <c r="AC766" i="1"/>
  <c r="V766" i="1"/>
  <c r="O766" i="1"/>
  <c r="AW773" i="1"/>
  <c r="AV773" i="1"/>
  <c r="AC773" i="1"/>
  <c r="V773" i="1"/>
  <c r="O773" i="1"/>
  <c r="AW769" i="1"/>
  <c r="AV769" i="1"/>
  <c r="AC769" i="1"/>
  <c r="V769" i="1"/>
  <c r="O769" i="1"/>
  <c r="AW782" i="1"/>
  <c r="AV782" i="1"/>
  <c r="AC782" i="1"/>
  <c r="V782" i="1"/>
  <c r="O782" i="1"/>
  <c r="AC764" i="1"/>
  <c r="V764" i="1"/>
  <c r="O764" i="1"/>
  <c r="AW764" i="1"/>
  <c r="AV764" i="1"/>
  <c r="AV767" i="1"/>
  <c r="AC767" i="1"/>
  <c r="V767" i="1"/>
  <c r="O767" i="1"/>
  <c r="AC761" i="1"/>
  <c r="V761" i="1"/>
  <c r="O761" i="1"/>
  <c r="AW761" i="1"/>
  <c r="AV761" i="1"/>
  <c r="AC765" i="1"/>
  <c r="V765" i="1"/>
  <c r="O765" i="1"/>
  <c r="AW765" i="1"/>
  <c r="AV765" i="1"/>
  <c r="AW763" i="1"/>
  <c r="AV763" i="1"/>
  <c r="AC763" i="1"/>
  <c r="V763" i="1"/>
  <c r="O763" i="1"/>
  <c r="AW755" i="1"/>
  <c r="AV755" i="1"/>
  <c r="AC755" i="1"/>
  <c r="V755" i="1"/>
  <c r="O755" i="1"/>
  <c r="AW762" i="1"/>
  <c r="AV762" i="1"/>
  <c r="AC762" i="1"/>
  <c r="V762" i="1"/>
  <c r="O762" i="1"/>
  <c r="AV783" i="1"/>
  <c r="AW783" i="1"/>
  <c r="AC783" i="1"/>
  <c r="V783" i="1"/>
  <c r="O783" i="1"/>
  <c r="AW785" i="1"/>
  <c r="AV785" i="1"/>
  <c r="AC785" i="1"/>
  <c r="V785" i="1"/>
  <c r="O785" i="1"/>
  <c r="AW788" i="1"/>
  <c r="AV788" i="1"/>
  <c r="AC788" i="1"/>
  <c r="V788" i="1"/>
  <c r="O788" i="1"/>
  <c r="AW787" i="1"/>
  <c r="AV787" i="1"/>
  <c r="AC787" i="1"/>
  <c r="V787" i="1"/>
  <c r="O787" i="1"/>
  <c r="O771" i="1"/>
  <c r="V771" i="1"/>
  <c r="AC771" i="1"/>
  <c r="AW771" i="1"/>
  <c r="AV771" i="1"/>
  <c r="AV744" i="1"/>
  <c r="O757" i="1"/>
  <c r="V757" i="1"/>
  <c r="AC757" i="1"/>
  <c r="AW757" i="1"/>
  <c r="AV757" i="1"/>
  <c r="AC751" i="1"/>
  <c r="V751" i="1"/>
  <c r="O751" i="1"/>
  <c r="AV751" i="1"/>
  <c r="AW751" i="1"/>
  <c r="AC754" i="1"/>
  <c r="V754" i="1"/>
  <c r="O754" i="1"/>
  <c r="AW754" i="1"/>
  <c r="AV754" i="1"/>
  <c r="AW759" i="1"/>
  <c r="AV759" i="1"/>
  <c r="AC759" i="1"/>
  <c r="V759" i="1"/>
  <c r="O759" i="1"/>
  <c r="AC758" i="1"/>
  <c r="V758" i="1"/>
  <c r="O758" i="1"/>
  <c r="AW758" i="1"/>
  <c r="AV758" i="1"/>
  <c r="AC752" i="1"/>
  <c r="V752" i="1"/>
  <c r="O752" i="1"/>
  <c r="AW752" i="1"/>
  <c r="AV752" i="1"/>
  <c r="AC777" i="1"/>
  <c r="V777" i="1"/>
  <c r="O777" i="1"/>
  <c r="AC775" i="1"/>
  <c r="V775" i="1"/>
  <c r="O775" i="1"/>
  <c r="AW777" i="1"/>
  <c r="AV777" i="1"/>
  <c r="AW775" i="1"/>
  <c r="AV775" i="1"/>
  <c r="AC747" i="1"/>
  <c r="V747" i="1"/>
  <c r="O747" i="1"/>
  <c r="AW747" i="1"/>
  <c r="AV747" i="1"/>
  <c r="AW733" i="1"/>
  <c r="AW750" i="1"/>
  <c r="AV750" i="1"/>
  <c r="AC750" i="1"/>
  <c r="V750" i="1"/>
  <c r="O750" i="1"/>
  <c r="AW760" i="1"/>
  <c r="AV760" i="1"/>
  <c r="AC760" i="1"/>
  <c r="V760" i="1"/>
  <c r="O760" i="1"/>
  <c r="AW753" i="1"/>
  <c r="AV753" i="1"/>
  <c r="AC753" i="1"/>
  <c r="V753" i="1"/>
  <c r="O753" i="1"/>
  <c r="AC745" i="1"/>
  <c r="V745" i="1"/>
  <c r="O745" i="1"/>
  <c r="AW745" i="1"/>
  <c r="AV745" i="1"/>
  <c r="AC742" i="1"/>
  <c r="V742" i="1"/>
  <c r="O742" i="1"/>
  <c r="AW742" i="1"/>
  <c r="AV742" i="1"/>
  <c r="AW748" i="1"/>
  <c r="AV748" i="1"/>
  <c r="AC748" i="1"/>
  <c r="V748" i="1"/>
  <c r="O748" i="1"/>
  <c r="AW743" i="1"/>
  <c r="AV743" i="1"/>
  <c r="AC743" i="1"/>
  <c r="V743" i="1"/>
  <c r="O743" i="1"/>
  <c r="AW741" i="1"/>
  <c r="AV741" i="1"/>
  <c r="AC741" i="1"/>
  <c r="V741" i="1"/>
  <c r="O741" i="1"/>
  <c r="AW730" i="1"/>
  <c r="AV730" i="1"/>
  <c r="AC730" i="1"/>
  <c r="V730" i="1"/>
  <c r="O730" i="1"/>
  <c r="AW727" i="1"/>
  <c r="AV727" i="1"/>
  <c r="AC727" i="1"/>
  <c r="V727" i="1"/>
  <c r="O727" i="1"/>
  <c r="AW732" i="1"/>
  <c r="AV732" i="1"/>
  <c r="AC732" i="1"/>
  <c r="V732" i="1"/>
  <c r="O732" i="1"/>
  <c r="AW781" i="1"/>
  <c r="AV781" i="1"/>
  <c r="AC781" i="1"/>
  <c r="V781" i="1"/>
  <c r="O781" i="1"/>
  <c r="AC712" i="1"/>
  <c r="V712" i="1"/>
  <c r="AW712" i="1"/>
  <c r="AV712" i="1"/>
  <c r="O712" i="1"/>
  <c r="AW731" i="1"/>
  <c r="AV731" i="1"/>
  <c r="AC731" i="1"/>
  <c r="V731" i="1"/>
  <c r="O731" i="1"/>
  <c r="AC784" i="1"/>
  <c r="V784" i="1"/>
  <c r="O784" i="1"/>
  <c r="AV746" i="1"/>
  <c r="AW746" i="1"/>
  <c r="AC746" i="1"/>
  <c r="V746" i="1"/>
  <c r="O746" i="1"/>
  <c r="AW737" i="1"/>
  <c r="AV737" i="1"/>
  <c r="AC737" i="1"/>
  <c r="V737" i="1"/>
  <c r="O737" i="1"/>
  <c r="AW756" i="1"/>
  <c r="AV756" i="1"/>
  <c r="AC756" i="1"/>
  <c r="V756" i="1"/>
  <c r="O756" i="1"/>
  <c r="AW744" i="1"/>
  <c r="AC744" i="1"/>
  <c r="V744" i="1"/>
  <c r="O744" i="1"/>
  <c r="AW784" i="1"/>
  <c r="AV784" i="1"/>
  <c r="AC793" i="1"/>
  <c r="V793" i="1"/>
  <c r="O793" i="1"/>
  <c r="AW793" i="1"/>
  <c r="AV793" i="1"/>
  <c r="O724" i="1"/>
  <c r="V724" i="1"/>
  <c r="AC724" i="1"/>
  <c r="AW724" i="1"/>
  <c r="AV724" i="1"/>
  <c r="AW722" i="1"/>
  <c r="AV722" i="1"/>
  <c r="AC722" i="1"/>
  <c r="V722" i="1"/>
  <c r="O722" i="1"/>
  <c r="V719" i="1"/>
  <c r="AC719" i="1"/>
  <c r="O719" i="1"/>
  <c r="AW719" i="1"/>
  <c r="AV719" i="1"/>
  <c r="AC702" i="1"/>
  <c r="V702" i="1"/>
  <c r="O702" i="1"/>
  <c r="AW702" i="1"/>
  <c r="AV702" i="1"/>
  <c r="V721" i="1"/>
  <c r="AW721" i="1"/>
  <c r="AV721" i="1"/>
  <c r="AC721" i="1"/>
  <c r="O721" i="1"/>
  <c r="O716" i="1"/>
  <c r="V716" i="1"/>
  <c r="AC716" i="1"/>
  <c r="AW716" i="1"/>
  <c r="AV716" i="1"/>
  <c r="V710" i="1"/>
  <c r="AC710" i="1"/>
  <c r="AW710" i="1"/>
  <c r="AV710" i="1"/>
  <c r="O710" i="1"/>
  <c r="AC770" i="1"/>
  <c r="V770" i="1"/>
  <c r="O770" i="1"/>
  <c r="AW770" i="1"/>
  <c r="AV770" i="1"/>
  <c r="O718" i="1"/>
  <c r="V718" i="1"/>
  <c r="AC718" i="1"/>
  <c r="AW718" i="1"/>
  <c r="AV718" i="1"/>
  <c r="AW726" i="1"/>
  <c r="AV726" i="1"/>
  <c r="AC726" i="1"/>
  <c r="V726" i="1"/>
  <c r="O726" i="1"/>
  <c r="AW729" i="1"/>
  <c r="AV729" i="1"/>
  <c r="AC729" i="1"/>
  <c r="V729" i="1"/>
  <c r="O729" i="1"/>
  <c r="AC740" i="1"/>
  <c r="V740" i="1"/>
  <c r="AW740" i="1"/>
  <c r="AV740" i="1"/>
  <c r="O740" i="1"/>
  <c r="O725" i="1"/>
  <c r="V725" i="1"/>
  <c r="AC725" i="1"/>
  <c r="AW725" i="1"/>
  <c r="AV725" i="1"/>
  <c r="AW738" i="1"/>
  <c r="AV738" i="1"/>
  <c r="AC738" i="1"/>
  <c r="V738" i="1"/>
  <c r="O738" i="1"/>
  <c r="AW739" i="1"/>
  <c r="AV739" i="1"/>
  <c r="AC739" i="1"/>
  <c r="V739" i="1"/>
  <c r="O739" i="1"/>
  <c r="AW673" i="1"/>
  <c r="AV673" i="1"/>
  <c r="AC673" i="1"/>
  <c r="V673" i="1"/>
  <c r="O673" i="1"/>
  <c r="AW714" i="1"/>
  <c r="AV714" i="1"/>
  <c r="AC714" i="1"/>
  <c r="V714" i="1"/>
  <c r="O714" i="1"/>
  <c r="O711" i="1"/>
  <c r="V711" i="1"/>
  <c r="AC711" i="1"/>
  <c r="AW711" i="1"/>
  <c r="AV711" i="1"/>
  <c r="AW668" i="1"/>
  <c r="AV668" i="1"/>
  <c r="AC668" i="1"/>
  <c r="V668" i="1"/>
  <c r="O668" i="1"/>
  <c r="AC689" i="1"/>
  <c r="V691" i="1"/>
  <c r="V692" i="1"/>
  <c r="V693" i="1"/>
  <c r="V689" i="1"/>
  <c r="AW693" i="1"/>
  <c r="AV693" i="1"/>
  <c r="AC693" i="1"/>
  <c r="O693" i="1"/>
  <c r="AW689" i="1"/>
  <c r="AV689" i="1"/>
  <c r="O689" i="1"/>
  <c r="O706" i="1"/>
  <c r="V706" i="1"/>
  <c r="AC706" i="1"/>
  <c r="AW706" i="1"/>
  <c r="AV706" i="1"/>
  <c r="AC709" i="1"/>
  <c r="V709" i="1"/>
  <c r="O709" i="1"/>
  <c r="AW709" i="1"/>
  <c r="AV709" i="1"/>
  <c r="AV708" i="1"/>
  <c r="AW708" i="1"/>
  <c r="AC708" i="1"/>
  <c r="V708" i="1"/>
  <c r="O708" i="1"/>
  <c r="AV717" i="1"/>
  <c r="AW717" i="1"/>
  <c r="AC717" i="1"/>
  <c r="V717" i="1"/>
  <c r="O717" i="1"/>
  <c r="AW713" i="1"/>
  <c r="AV713" i="1"/>
  <c r="AC713" i="1"/>
  <c r="V713" i="1"/>
  <c r="O713" i="1"/>
  <c r="AW715" i="1"/>
  <c r="AV715" i="1"/>
  <c r="AC715" i="1"/>
  <c r="V715" i="1"/>
  <c r="O715" i="1"/>
  <c r="AW701" i="1"/>
  <c r="AV701" i="1"/>
  <c r="AC701" i="1"/>
  <c r="V701" i="1"/>
  <c r="O701" i="1"/>
  <c r="AV700" i="1"/>
  <c r="AW700" i="1"/>
  <c r="AC700" i="1"/>
  <c r="V700" i="1"/>
  <c r="O700" i="1"/>
  <c r="AC707" i="1"/>
  <c r="V707" i="1"/>
  <c r="O707" i="1"/>
  <c r="AW707" i="1"/>
  <c r="AV707" i="1"/>
  <c r="O699" i="1"/>
  <c r="V699" i="1"/>
  <c r="AC699" i="1"/>
  <c r="AW699" i="1"/>
  <c r="AV699" i="1"/>
  <c r="AW698" i="1"/>
  <c r="AV698" i="1"/>
  <c r="AC698" i="1"/>
  <c r="V698" i="1"/>
  <c r="O698" i="1"/>
  <c r="V697" i="1"/>
  <c r="AC697" i="1"/>
  <c r="AW697" i="1"/>
  <c r="AV697" i="1"/>
  <c r="O697" i="1"/>
  <c r="AC696" i="1"/>
  <c r="V696" i="1"/>
  <c r="AW696" i="1"/>
  <c r="AV696" i="1"/>
  <c r="O696" i="1"/>
  <c r="AW728" i="1"/>
  <c r="AV728" i="1"/>
  <c r="AC728" i="1"/>
  <c r="V728" i="1"/>
  <c r="O728" i="1"/>
  <c r="AW692" i="1"/>
  <c r="AV692" i="1"/>
  <c r="AC692" i="1"/>
  <c r="O692" i="1"/>
  <c r="AW688" i="1"/>
  <c r="AV688" i="1"/>
  <c r="AC688" i="1"/>
  <c r="V688" i="1"/>
  <c r="O688" i="1"/>
  <c r="AW681" i="1"/>
  <c r="AV703" i="1"/>
  <c r="AW703" i="1"/>
  <c r="AC703" i="1"/>
  <c r="V703" i="1"/>
  <c r="O703" i="1"/>
  <c r="AC720" i="1"/>
  <c r="V720" i="1"/>
  <c r="AW720" i="1"/>
  <c r="AV720" i="1"/>
  <c r="O720" i="1"/>
  <c r="AC749" i="1"/>
  <c r="V749" i="1"/>
  <c r="O749" i="1"/>
  <c r="AW749" i="1"/>
  <c r="AV749" i="1"/>
  <c r="AW684" i="1"/>
  <c r="AV684" i="1"/>
  <c r="AC684" i="1"/>
  <c r="V684" i="1"/>
  <c r="O684" i="1"/>
  <c r="AC681" i="1"/>
  <c r="V681" i="1"/>
  <c r="O681" i="1"/>
  <c r="AW690" i="1"/>
  <c r="AV690" i="1"/>
  <c r="AC690" i="1"/>
  <c r="V690" i="1"/>
  <c r="O690" i="1"/>
  <c r="AW704" i="1"/>
  <c r="AV704" i="1"/>
  <c r="AC704" i="1"/>
  <c r="V704" i="1"/>
  <c r="O704" i="1"/>
  <c r="AW678" i="1"/>
  <c r="AV678" i="1"/>
  <c r="AC678" i="1"/>
  <c r="V678" i="1"/>
  <c r="O678" i="1"/>
  <c r="O672" i="1"/>
  <c r="AW674" i="1"/>
  <c r="AV674" i="1"/>
  <c r="AC674" i="1"/>
  <c r="V674" i="1"/>
  <c r="O674" i="1"/>
  <c r="AW677" i="1"/>
  <c r="AV677" i="1"/>
  <c r="AC677" i="1"/>
  <c r="V677" i="1"/>
  <c r="O677" i="1"/>
  <c r="AW667" i="1"/>
  <c r="AV667" i="1"/>
  <c r="AC667" i="1"/>
  <c r="V667" i="1"/>
  <c r="O667" i="1"/>
  <c r="AV670" i="1"/>
  <c r="AW670" i="1"/>
  <c r="AC670" i="1"/>
  <c r="V670" i="1"/>
  <c r="O670" i="1"/>
  <c r="AW671" i="1"/>
  <c r="AV671" i="1"/>
  <c r="AC671" i="1"/>
  <c r="V671" i="1"/>
  <c r="O671" i="1"/>
  <c r="AW683" i="1"/>
  <c r="AV683" i="1"/>
  <c r="AC683" i="1"/>
  <c r="V683" i="1"/>
  <c r="O683" i="1"/>
  <c r="AV679" i="1"/>
  <c r="AW679" i="1"/>
  <c r="AC679" i="1"/>
  <c r="V679" i="1"/>
  <c r="O679" i="1"/>
  <c r="AW675" i="1"/>
  <c r="AV675" i="1"/>
  <c r="AC675" i="1"/>
  <c r="V675" i="1"/>
  <c r="O675" i="1"/>
  <c r="AW669" i="1"/>
  <c r="AV669" i="1"/>
  <c r="AC669" i="1"/>
  <c r="V669" i="1"/>
  <c r="O669" i="1"/>
  <c r="AW672" i="1"/>
  <c r="AV672" i="1"/>
  <c r="AC672" i="1"/>
  <c r="V672" i="1"/>
  <c r="AW666" i="1"/>
  <c r="AV666" i="1"/>
  <c r="AC666" i="1"/>
  <c r="V666" i="1"/>
  <c r="O666" i="1"/>
  <c r="AW661" i="1"/>
  <c r="AV661" i="1"/>
  <c r="AC661" i="1"/>
  <c r="V661" i="1"/>
  <c r="O661" i="1"/>
  <c r="O656" i="1"/>
  <c r="V656" i="1"/>
  <c r="AC656" i="1"/>
  <c r="O657" i="1"/>
  <c r="V657" i="1"/>
  <c r="AC657" i="1"/>
  <c r="O658" i="1"/>
  <c r="V658" i="1"/>
  <c r="AC658" i="1"/>
  <c r="O655" i="1"/>
  <c r="AW658" i="1"/>
  <c r="AW657" i="1"/>
  <c r="AV657" i="1"/>
  <c r="AW656" i="1"/>
  <c r="AV656" i="1"/>
  <c r="AW655" i="1"/>
  <c r="AV655" i="1"/>
  <c r="AC655" i="1"/>
  <c r="V655" i="1"/>
  <c r="AW705" i="1"/>
  <c r="AV705" i="1"/>
  <c r="AC705" i="1"/>
  <c r="V705" i="1"/>
  <c r="O705" i="1"/>
  <c r="AC695" i="1"/>
  <c r="AW695" i="1"/>
  <c r="AV695" i="1"/>
  <c r="V695" i="1"/>
  <c r="O695" i="1"/>
  <c r="AW723" i="1"/>
  <c r="AV723" i="1"/>
  <c r="AC723" i="1"/>
  <c r="V723" i="1"/>
  <c r="O723" i="1"/>
  <c r="AW644" i="1"/>
  <c r="AV644" i="1"/>
  <c r="AC644" i="1"/>
  <c r="V644" i="1"/>
  <c r="O644" i="1"/>
  <c r="AW660" i="1"/>
  <c r="AV660" i="1"/>
  <c r="AC660" i="1"/>
  <c r="V660" i="1"/>
  <c r="O660" i="1"/>
  <c r="AW619" i="1"/>
  <c r="AV619" i="1"/>
  <c r="AC619" i="1"/>
  <c r="V619" i="1"/>
  <c r="O619" i="1"/>
  <c r="AW647" i="1"/>
  <c r="AV647" i="1"/>
  <c r="V647" i="1"/>
  <c r="O647" i="1"/>
  <c r="AW653" i="1"/>
  <c r="AV653" i="1"/>
  <c r="AC653" i="1"/>
  <c r="V653" i="1"/>
  <c r="O653" i="1"/>
  <c r="AC645" i="1"/>
  <c r="V645" i="1"/>
  <c r="O645" i="1"/>
  <c r="AW645" i="1"/>
  <c r="AV645" i="1"/>
  <c r="AW694" i="1"/>
  <c r="AV694" i="1"/>
  <c r="AC694" i="1"/>
  <c r="V694" i="1"/>
  <c r="O694" i="1"/>
  <c r="AW646" i="1"/>
  <c r="AV646" i="1"/>
  <c r="AC646" i="1"/>
  <c r="V646" i="1"/>
  <c r="O646" i="1"/>
  <c r="AW665" i="1"/>
  <c r="AV665" i="1"/>
  <c r="AC665" i="1"/>
  <c r="V665" i="1"/>
  <c r="O665" i="1"/>
  <c r="AW676" i="1"/>
  <c r="AV676" i="1"/>
  <c r="AC676" i="1"/>
  <c r="V676" i="1"/>
  <c r="O676" i="1"/>
  <c r="AW639" i="1"/>
  <c r="AC639" i="1"/>
  <c r="V639" i="1"/>
  <c r="O639" i="1"/>
  <c r="AV583" i="1"/>
  <c r="AW583" i="1"/>
  <c r="AV642" i="1"/>
  <c r="AW642" i="1"/>
  <c r="AC642" i="1"/>
  <c r="V642" i="1"/>
  <c r="O642" i="1"/>
  <c r="AW641" i="1"/>
  <c r="AV641" i="1"/>
  <c r="AC641" i="1"/>
  <c r="V641" i="1"/>
  <c r="O641" i="1"/>
  <c r="AW643" i="1"/>
  <c r="AV643" i="1"/>
  <c r="AC643" i="1"/>
  <c r="V643" i="1"/>
  <c r="O643" i="1"/>
  <c r="AW651" i="1"/>
  <c r="AV651" i="1"/>
  <c r="AC651" i="1"/>
  <c r="V651" i="1"/>
  <c r="O651" i="1"/>
  <c r="AW630" i="1"/>
  <c r="AV630" i="1"/>
  <c r="AC630" i="1"/>
  <c r="V630" i="1"/>
  <c r="O630" i="1"/>
  <c r="AW635" i="1"/>
  <c r="AV635" i="1"/>
  <c r="AC635" i="1"/>
  <c r="V635" i="1"/>
  <c r="O635" i="1"/>
  <c r="V632" i="1"/>
  <c r="AW632" i="1"/>
  <c r="AV632" i="1"/>
  <c r="AC632" i="1"/>
  <c r="O632" i="1"/>
  <c r="AW628" i="1"/>
  <c r="AV628" i="1"/>
  <c r="AC628" i="1"/>
  <c r="V628" i="1"/>
  <c r="O628" i="1"/>
  <c r="V650" i="1"/>
  <c r="O650" i="1"/>
  <c r="AW650" i="1"/>
  <c r="AV650" i="1"/>
  <c r="AW648" i="1"/>
  <c r="AV648" i="1"/>
  <c r="V648" i="1"/>
  <c r="O648" i="1"/>
  <c r="AW631" i="1"/>
  <c r="AV631" i="1"/>
  <c r="AC631" i="1"/>
  <c r="V631" i="1"/>
  <c r="O631" i="1"/>
  <c r="AC682" i="1"/>
  <c r="AW682" i="1"/>
  <c r="AV682" i="1"/>
  <c r="V682" i="1"/>
  <c r="O682" i="1"/>
  <c r="AW637" i="1"/>
  <c r="AV637" i="1"/>
  <c r="AC637" i="1"/>
  <c r="V637" i="1"/>
  <c r="O637" i="1"/>
  <c r="AC638" i="1"/>
  <c r="AV638" i="1"/>
  <c r="AW638" i="1"/>
  <c r="V638" i="1"/>
  <c r="O638" i="1"/>
  <c r="AC636" i="1"/>
  <c r="V636" i="1"/>
  <c r="AV636" i="1"/>
  <c r="AW636" i="1"/>
  <c r="O636" i="1"/>
  <c r="AW626" i="1"/>
  <c r="AV626" i="1"/>
  <c r="AC626" i="1"/>
  <c r="V626" i="1"/>
  <c r="O626" i="1"/>
  <c r="AW640" i="1"/>
  <c r="AV640" i="1"/>
  <c r="AC640" i="1"/>
  <c r="V640" i="1"/>
  <c r="O640" i="1"/>
  <c r="AW585" i="1"/>
  <c r="AV585" i="1"/>
  <c r="AW780" i="1"/>
  <c r="AV780" i="1"/>
  <c r="AC780" i="1"/>
  <c r="V780" i="1"/>
  <c r="O780" i="1"/>
  <c r="AW664" i="1"/>
  <c r="AV664" i="1"/>
  <c r="AC664" i="1"/>
  <c r="V664" i="1"/>
  <c r="O664" i="1"/>
  <c r="AW691" i="1"/>
  <c r="AV691" i="1"/>
  <c r="AC691" i="1"/>
  <c r="O691" i="1"/>
  <c r="AW649" i="1"/>
  <c r="AV649" i="1"/>
  <c r="AC649" i="1"/>
  <c r="V649" i="1"/>
  <c r="O649" i="1"/>
  <c r="AW624" i="1"/>
  <c r="AV624" i="1"/>
  <c r="AC624" i="1"/>
  <c r="V624" i="1"/>
  <c r="O624" i="1"/>
  <c r="AW652" i="1"/>
  <c r="AV652" i="1"/>
  <c r="AC652" i="1"/>
  <c r="V652" i="1"/>
  <c r="O652" i="1"/>
  <c r="AW621" i="1"/>
  <c r="AV621" i="1"/>
  <c r="AC621" i="1"/>
  <c r="V621" i="1"/>
  <c r="O621" i="1"/>
  <c r="AW617" i="1"/>
  <c r="AV617" i="1"/>
  <c r="AC617" i="1"/>
  <c r="V617" i="1"/>
  <c r="O617" i="1"/>
  <c r="AC620" i="1"/>
  <c r="V620" i="1"/>
  <c r="O620" i="1"/>
  <c r="AW620" i="1"/>
  <c r="AV620" i="1"/>
  <c r="AW662" i="1"/>
  <c r="AV662" i="1"/>
  <c r="AC662" i="1"/>
  <c r="V662" i="1"/>
  <c r="O662" i="1"/>
  <c r="AW629" i="1"/>
  <c r="AV629" i="1"/>
  <c r="AC629" i="1"/>
  <c r="V629" i="1"/>
  <c r="O629" i="1"/>
  <c r="AC583" i="1"/>
  <c r="V583" i="1"/>
  <c r="O583" i="1"/>
  <c r="AW625" i="1"/>
  <c r="AV625" i="1"/>
  <c r="AC625" i="1"/>
  <c r="V625" i="1"/>
  <c r="O625" i="1"/>
  <c r="AW680" i="1"/>
  <c r="AV680" i="1"/>
  <c r="AC680" i="1"/>
  <c r="V680" i="1"/>
  <c r="O680" i="1"/>
  <c r="AW633" i="1"/>
  <c r="AV633" i="1"/>
  <c r="AC633" i="1"/>
  <c r="V633" i="1"/>
  <c r="O633" i="1"/>
  <c r="AW549" i="1"/>
  <c r="AV616" i="1"/>
  <c r="AW616" i="1"/>
  <c r="AC616" i="1"/>
  <c r="V616" i="1"/>
  <c r="O616" i="1"/>
  <c r="AW614" i="1"/>
  <c r="AV614" i="1"/>
  <c r="AC614" i="1"/>
  <c r="V614" i="1"/>
  <c r="O614" i="1"/>
  <c r="AV429" i="1"/>
  <c r="AW429" i="1"/>
  <c r="AC429" i="1"/>
  <c r="V429" i="1"/>
  <c r="O429" i="1"/>
  <c r="O618" i="1"/>
  <c r="AV618" i="1"/>
  <c r="AW618" i="1"/>
  <c r="AC618" i="1"/>
  <c r="V618" i="1"/>
  <c r="AW611" i="1"/>
  <c r="AV611" i="1"/>
  <c r="AC611" i="1"/>
  <c r="V611" i="1"/>
  <c r="O611" i="1"/>
  <c r="AW602" i="1"/>
  <c r="AV602" i="1"/>
  <c r="AC602" i="1"/>
  <c r="V602" i="1"/>
  <c r="O602" i="1"/>
  <c r="AW605" i="1"/>
  <c r="AW606" i="1"/>
  <c r="AW615" i="1"/>
  <c r="AV615" i="1"/>
  <c r="AC615" i="1"/>
  <c r="V615" i="1"/>
  <c r="O615" i="1"/>
  <c r="AW607" i="1"/>
  <c r="AV607" i="1"/>
  <c r="AC607" i="1"/>
  <c r="V607" i="1"/>
  <c r="O607" i="1"/>
  <c r="AW687" i="1"/>
  <c r="AV687" i="1"/>
  <c r="AC687" i="1"/>
  <c r="V687" i="1"/>
  <c r="O687" i="1"/>
  <c r="AC585" i="1"/>
  <c r="V585" i="1"/>
  <c r="O585" i="1"/>
  <c r="AV733" i="1"/>
  <c r="AC733" i="1"/>
  <c r="V733" i="1"/>
  <c r="O733" i="1"/>
  <c r="AW612" i="1"/>
  <c r="AV612" i="1"/>
  <c r="AC612" i="1"/>
  <c r="V612" i="1"/>
  <c r="O612" i="1"/>
  <c r="AW604" i="1"/>
  <c r="AV604" i="1"/>
  <c r="AC604" i="1"/>
  <c r="V604" i="1"/>
  <c r="O604" i="1"/>
  <c r="AW603" i="1"/>
  <c r="AV603" i="1"/>
  <c r="AC603" i="1"/>
  <c r="V603" i="1"/>
  <c r="O603" i="1"/>
  <c r="AW623" i="1"/>
  <c r="AV623" i="1"/>
  <c r="AC623" i="1"/>
  <c r="V623" i="1"/>
  <c r="O623" i="1"/>
  <c r="AW592" i="1"/>
  <c r="O610" i="1"/>
  <c r="V610" i="1"/>
  <c r="AC610" i="1"/>
  <c r="AW610" i="1"/>
  <c r="AV610" i="1"/>
  <c r="AW597" i="1"/>
  <c r="AV597" i="1"/>
  <c r="AC597" i="1"/>
  <c r="V597" i="1"/>
  <c r="O597" i="1"/>
  <c r="AW598" i="1"/>
  <c r="AV598" i="1"/>
  <c r="AC598" i="1"/>
  <c r="V598" i="1"/>
  <c r="O598" i="1"/>
  <c r="AW594" i="1"/>
  <c r="AV594" i="1"/>
  <c r="AC594" i="1"/>
  <c r="V594" i="1"/>
  <c r="O594" i="1"/>
  <c r="AW627" i="1"/>
  <c r="AV627" i="1"/>
  <c r="AC627" i="1"/>
  <c r="V627" i="1"/>
  <c r="O627" i="1"/>
  <c r="AV944" i="1"/>
  <c r="AC944" i="1"/>
  <c r="V944" i="1"/>
  <c r="O944" i="1"/>
  <c r="AW736" i="1"/>
  <c r="AC736" i="1"/>
  <c r="V736" i="1"/>
  <c r="O736" i="1"/>
  <c r="AW735" i="1"/>
  <c r="AV735" i="1"/>
  <c r="AC735" i="1"/>
  <c r="V735" i="1"/>
  <c r="O735" i="1"/>
  <c r="AV1033" i="1"/>
  <c r="AC1033" i="1"/>
  <c r="V1033" i="1"/>
  <c r="O1033" i="1"/>
  <c r="AC599" i="1"/>
  <c r="AC600" i="1"/>
  <c r="O599" i="1"/>
  <c r="V599" i="1"/>
  <c r="AV599" i="1"/>
  <c r="AW599" i="1"/>
  <c r="O600" i="1"/>
  <c r="V600" i="1"/>
  <c r="AV600" i="1"/>
  <c r="AW600" i="1"/>
  <c r="AV605" i="1"/>
  <c r="AC605" i="1"/>
  <c r="V605" i="1"/>
  <c r="O605" i="1"/>
  <c r="AW561" i="1"/>
  <c r="AV561" i="1"/>
  <c r="AC561" i="1"/>
  <c r="V561" i="1"/>
  <c r="O561" i="1"/>
  <c r="AV606" i="1"/>
  <c r="AC606" i="1"/>
  <c r="V606" i="1"/>
  <c r="O606" i="1"/>
  <c r="AV622" i="1"/>
  <c r="AW622" i="1"/>
  <c r="AC622" i="1"/>
  <c r="V622" i="1"/>
  <c r="O622" i="1"/>
  <c r="O592" i="1"/>
  <c r="AV592" i="1"/>
  <c r="AC592" i="1"/>
  <c r="V592" i="1"/>
  <c r="AC595" i="1"/>
  <c r="V595" i="1"/>
  <c r="O595" i="1"/>
  <c r="AW595" i="1"/>
  <c r="AV595" i="1"/>
  <c r="O579" i="1"/>
  <c r="AV579" i="1"/>
  <c r="AW579" i="1"/>
  <c r="AC579" i="1"/>
  <c r="V579" i="1"/>
  <c r="AW586" i="1"/>
  <c r="AV586" i="1"/>
  <c r="AC586" i="1"/>
  <c r="V586" i="1"/>
  <c r="O586" i="1"/>
  <c r="AW578" i="1"/>
  <c r="AV578" i="1"/>
  <c r="AC578" i="1"/>
  <c r="V578" i="1"/>
  <c r="O578" i="1"/>
  <c r="AW734" i="1"/>
  <c r="AV734" i="1"/>
  <c r="AC734" i="1"/>
  <c r="V734" i="1"/>
  <c r="O734" i="1"/>
  <c r="AV1032" i="1"/>
  <c r="AC1032" i="1"/>
  <c r="V1032" i="1"/>
  <c r="O1032" i="1"/>
  <c r="O795" i="1"/>
  <c r="O792" i="1"/>
  <c r="AW792" i="1"/>
  <c r="AV792" i="1"/>
  <c r="AC792" i="1"/>
  <c r="V792" i="1"/>
  <c r="AW795" i="1"/>
  <c r="AV795" i="1"/>
  <c r="AC795" i="1"/>
  <c r="V795" i="1"/>
  <c r="AW584" i="1"/>
  <c r="AV584" i="1"/>
  <c r="AC584" i="1"/>
  <c r="V584" i="1"/>
  <c r="O584" i="1"/>
  <c r="AW591" i="1"/>
  <c r="AV591" i="1"/>
  <c r="AC591" i="1"/>
  <c r="V591" i="1"/>
  <c r="O591" i="1"/>
  <c r="AC581" i="1"/>
  <c r="V581" i="1"/>
  <c r="AW581" i="1"/>
  <c r="AV581" i="1"/>
  <c r="O581" i="1"/>
  <c r="AC596" i="1"/>
  <c r="V596" i="1"/>
  <c r="O596" i="1"/>
  <c r="AC588" i="1"/>
  <c r="V588" i="1"/>
  <c r="AW588" i="1"/>
  <c r="AV588" i="1"/>
  <c r="O588" i="1"/>
  <c r="O590" i="1"/>
  <c r="V590" i="1"/>
  <c r="AC590" i="1"/>
  <c r="AW590" i="1"/>
  <c r="AV590" i="1"/>
  <c r="AW596" i="1"/>
  <c r="AV596" i="1"/>
  <c r="AC582" i="1"/>
  <c r="AC587" i="1"/>
  <c r="V582" i="1"/>
  <c r="V587" i="1"/>
  <c r="AW582" i="1"/>
  <c r="AV582" i="1"/>
  <c r="O582" i="1"/>
  <c r="AW587" i="1"/>
  <c r="AV587" i="1"/>
  <c r="O587" i="1"/>
  <c r="AC601" i="1"/>
  <c r="AW601" i="1"/>
  <c r="AV601" i="1"/>
  <c r="V601" i="1"/>
  <c r="O601" i="1"/>
  <c r="V900" i="1"/>
  <c r="AW900" i="1"/>
  <c r="AC900" i="1"/>
  <c r="O900" i="1"/>
  <c r="O576" i="1"/>
  <c r="AW576" i="1"/>
  <c r="AV576" i="1"/>
  <c r="AC576" i="1"/>
  <c r="V576" i="1"/>
  <c r="AW663" i="1"/>
  <c r="AV663" i="1"/>
  <c r="AC663" i="1"/>
  <c r="V663" i="1"/>
  <c r="O663" i="1"/>
  <c r="AC589" i="1"/>
  <c r="V589" i="1"/>
  <c r="O589" i="1"/>
  <c r="AW589" i="1"/>
  <c r="AV589" i="1"/>
  <c r="AC237" i="1"/>
  <c r="AW237" i="1"/>
  <c r="AV237" i="1"/>
  <c r="V237" i="1"/>
  <c r="O237" i="1"/>
  <c r="O577" i="1"/>
  <c r="V577" i="1"/>
  <c r="AC577" i="1"/>
  <c r="AW577" i="1"/>
  <c r="AV577" i="1"/>
  <c r="AW575" i="1"/>
  <c r="AV575" i="1"/>
  <c r="AC575" i="1"/>
  <c r="V575" i="1"/>
  <c r="O575" i="1"/>
  <c r="AW613" i="1"/>
  <c r="AV613" i="1"/>
  <c r="AC613" i="1"/>
  <c r="V613" i="1"/>
  <c r="O613" i="1"/>
  <c r="O608" i="1"/>
  <c r="AW608" i="1"/>
  <c r="AV608" i="1"/>
  <c r="AC608" i="1"/>
  <c r="V608" i="1"/>
  <c r="AW609" i="1"/>
  <c r="AV609" i="1"/>
  <c r="AC609" i="1"/>
  <c r="V609" i="1"/>
  <c r="O609" i="1"/>
  <c r="V134" i="1"/>
  <c r="AC134" i="1"/>
  <c r="O134" i="1"/>
  <c r="AW134" i="1"/>
  <c r="AV134" i="1"/>
  <c r="AC567" i="1"/>
  <c r="V567" i="1"/>
  <c r="AW567" i="1"/>
  <c r="AV567" i="1"/>
  <c r="O567" i="1"/>
  <c r="AW565" i="1"/>
  <c r="AV565" i="1"/>
  <c r="AC565" i="1"/>
  <c r="V565" i="1"/>
  <c r="O565" i="1"/>
  <c r="AW169" i="1"/>
  <c r="AV169" i="1"/>
  <c r="AC169" i="1"/>
  <c r="V169" i="1"/>
  <c r="O169" i="1"/>
  <c r="AW155" i="1"/>
  <c r="AV155" i="1"/>
  <c r="AC155" i="1"/>
  <c r="V155" i="1"/>
  <c r="O155" i="1"/>
  <c r="AW217" i="1"/>
  <c r="AV217" i="1"/>
  <c r="AC217" i="1"/>
  <c r="V217" i="1"/>
  <c r="O217" i="1"/>
  <c r="O566" i="1"/>
  <c r="V566" i="1"/>
  <c r="AC566" i="1"/>
  <c r="AW566" i="1"/>
  <c r="AV566" i="1"/>
  <c r="AW571" i="1"/>
  <c r="AV571" i="1"/>
  <c r="AC571" i="1"/>
  <c r="V571" i="1"/>
  <c r="O571" i="1"/>
  <c r="AV573" i="1"/>
  <c r="AW573" i="1"/>
  <c r="AC573" i="1"/>
  <c r="V573" i="1"/>
  <c r="O573" i="1"/>
  <c r="AW574" i="1"/>
  <c r="AV574" i="1"/>
  <c r="AC574" i="1"/>
  <c r="V574" i="1"/>
  <c r="O574" i="1"/>
  <c r="AC686" i="1"/>
  <c r="V686" i="1"/>
  <c r="O686" i="1"/>
  <c r="O685" i="1"/>
  <c r="AV563" i="1"/>
  <c r="AW563" i="1"/>
  <c r="AV557" i="1"/>
  <c r="AW557" i="1"/>
  <c r="AC557" i="1"/>
  <c r="V557" i="1"/>
  <c r="O557" i="1"/>
  <c r="AV593" i="1"/>
  <c r="AW593" i="1"/>
  <c r="AC593" i="1"/>
  <c r="V593" i="1"/>
  <c r="O593" i="1"/>
  <c r="AW559" i="1"/>
  <c r="AV559" i="1"/>
  <c r="AC559" i="1"/>
  <c r="V559" i="1"/>
  <c r="O559" i="1"/>
  <c r="AC550" i="1"/>
  <c r="V550" i="1"/>
  <c r="AW550" i="1"/>
  <c r="AV550" i="1"/>
  <c r="O550" i="1"/>
  <c r="AV548" i="1"/>
  <c r="AW543" i="1"/>
  <c r="AW544" i="1"/>
  <c r="AW546" i="1"/>
  <c r="AW547" i="1"/>
  <c r="AW548" i="1"/>
  <c r="AW551" i="1"/>
  <c r="AW552" i="1"/>
  <c r="AW553" i="1"/>
  <c r="AW554" i="1"/>
  <c r="AW555" i="1"/>
  <c r="AW556" i="1"/>
  <c r="AW558" i="1"/>
  <c r="AW560" i="1"/>
  <c r="AW562" i="1"/>
  <c r="AW545" i="1"/>
  <c r="AV554" i="1"/>
  <c r="AC554" i="1"/>
  <c r="V554" i="1"/>
  <c r="AV551" i="1"/>
  <c r="AC551" i="1"/>
  <c r="V551" i="1"/>
  <c r="O551" i="1"/>
  <c r="AC548" i="1"/>
  <c r="V548" i="1"/>
  <c r="O548" i="1"/>
  <c r="AV558" i="1"/>
  <c r="AC558" i="1"/>
  <c r="V558" i="1"/>
  <c r="O558" i="1"/>
  <c r="AC544" i="1"/>
  <c r="V544" i="1"/>
  <c r="O544" i="1"/>
  <c r="V562" i="1"/>
  <c r="AV562" i="1"/>
  <c r="AC562" i="1"/>
  <c r="O562" i="1"/>
  <c r="V556" i="1"/>
  <c r="O556" i="1"/>
  <c r="AV556" i="1"/>
  <c r="AC556" i="1"/>
  <c r="O549" i="1"/>
  <c r="V549" i="1"/>
  <c r="AC549" i="1"/>
  <c r="AV549" i="1"/>
  <c r="AW685" i="1"/>
  <c r="AW686" i="1"/>
  <c r="AW1119" i="1"/>
  <c r="AW1158" i="1"/>
  <c r="AW1253" i="1"/>
  <c r="AW474" i="1"/>
  <c r="AW475" i="1"/>
  <c r="AW476" i="1"/>
  <c r="AW477" i="1"/>
  <c r="AW478" i="1"/>
  <c r="AW479" i="1"/>
  <c r="AW480" i="1"/>
  <c r="AW482" i="1"/>
  <c r="AW483" i="1"/>
  <c r="AW484" i="1"/>
  <c r="AW485" i="1"/>
  <c r="AW486" i="1"/>
  <c r="AW487" i="1"/>
  <c r="AW488" i="1"/>
  <c r="AW489" i="1"/>
  <c r="AW490" i="1"/>
  <c r="AW491" i="1"/>
  <c r="AW492" i="1"/>
  <c r="AW493" i="1"/>
  <c r="AW494" i="1"/>
  <c r="AW495" i="1"/>
  <c r="AW496" i="1"/>
  <c r="AW497" i="1"/>
  <c r="AW498" i="1"/>
  <c r="AW499" i="1"/>
  <c r="AW500" i="1"/>
  <c r="AW501" i="1"/>
  <c r="AW502" i="1"/>
  <c r="AW503" i="1"/>
  <c r="AW504" i="1"/>
  <c r="AW505" i="1"/>
  <c r="AW506" i="1"/>
  <c r="AW507" i="1"/>
  <c r="AW508" i="1"/>
  <c r="AW509" i="1"/>
  <c r="AW510" i="1"/>
  <c r="AW511" i="1"/>
  <c r="AW512" i="1"/>
  <c r="AW513" i="1"/>
  <c r="AW514" i="1"/>
  <c r="AW515" i="1"/>
  <c r="AW516" i="1"/>
  <c r="AW517" i="1"/>
  <c r="AW518" i="1"/>
  <c r="AW519" i="1"/>
  <c r="AW520" i="1"/>
  <c r="AW521" i="1"/>
  <c r="AW522" i="1"/>
  <c r="AW523" i="1"/>
  <c r="AW524" i="1"/>
  <c r="AW525" i="1"/>
  <c r="AW526" i="1"/>
  <c r="AW527" i="1"/>
  <c r="AW528" i="1"/>
  <c r="AW529" i="1"/>
  <c r="AW530" i="1"/>
  <c r="AW531" i="1"/>
  <c r="AW532" i="1"/>
  <c r="AW533" i="1"/>
  <c r="AW534" i="1"/>
  <c r="AW535" i="1"/>
  <c r="AW536" i="1"/>
  <c r="AW537" i="1"/>
  <c r="AW538" i="1"/>
  <c r="AW539" i="1"/>
  <c r="AW540" i="1"/>
  <c r="AW541" i="1"/>
  <c r="AW542" i="1"/>
  <c r="AW564" i="1"/>
  <c r="AW568" i="1"/>
  <c r="AW569" i="1"/>
  <c r="AW570" i="1"/>
  <c r="AW572" i="1"/>
  <c r="AW580" i="1"/>
  <c r="AW634" i="1"/>
  <c r="AW654" i="1"/>
  <c r="AW659"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5" i="1"/>
  <c r="AW136" i="1"/>
  <c r="AW137" i="1"/>
  <c r="AW138" i="1"/>
  <c r="AW139" i="1"/>
  <c r="AW140" i="1"/>
  <c r="AW141" i="1"/>
  <c r="AW142" i="1"/>
  <c r="AW143" i="1"/>
  <c r="AW144" i="1"/>
  <c r="AW145" i="1"/>
  <c r="AW146" i="1"/>
  <c r="AW147" i="1"/>
  <c r="AW148" i="1"/>
  <c r="AW149" i="1"/>
  <c r="AW150" i="1"/>
  <c r="AW151" i="1"/>
  <c r="AW152" i="1"/>
  <c r="AW153" i="1"/>
  <c r="AW154" i="1"/>
  <c r="AW156" i="1"/>
  <c r="AW157" i="1"/>
  <c r="AW158" i="1"/>
  <c r="AW159" i="1"/>
  <c r="AW160" i="1"/>
  <c r="AW161" i="1"/>
  <c r="AW162" i="1"/>
  <c r="AW163" i="1"/>
  <c r="AW164" i="1"/>
  <c r="AW165" i="1"/>
  <c r="AW166" i="1"/>
  <c r="AW167" i="1"/>
  <c r="AW168" i="1"/>
  <c r="AW170" i="1"/>
  <c r="AW171" i="1"/>
  <c r="AW172" i="1"/>
  <c r="AW173" i="1"/>
  <c r="AW174" i="1"/>
  <c r="AW175" i="1"/>
  <c r="AW176" i="1"/>
  <c r="AW177" i="1"/>
  <c r="AW178" i="1"/>
  <c r="AW179" i="1"/>
  <c r="AW180" i="1"/>
  <c r="AW181" i="1"/>
  <c r="AW182" i="1"/>
  <c r="AW183" i="1"/>
  <c r="AW184" i="1"/>
  <c r="AW185" i="1"/>
  <c r="AW186" i="1"/>
  <c r="AW187" i="1"/>
  <c r="AW188" i="1"/>
  <c r="AW189" i="1"/>
  <c r="AW190" i="1"/>
  <c r="AW191" i="1"/>
  <c r="AW192" i="1"/>
  <c r="AW193" i="1"/>
  <c r="AW194" i="1"/>
  <c r="AW195" i="1"/>
  <c r="AW196" i="1"/>
  <c r="AW197" i="1"/>
  <c r="AW198" i="1"/>
  <c r="AW199" i="1"/>
  <c r="AW200" i="1"/>
  <c r="AW201" i="1"/>
  <c r="AW202" i="1"/>
  <c r="AW203" i="1"/>
  <c r="AW204" i="1"/>
  <c r="AW205" i="1"/>
  <c r="AW206" i="1"/>
  <c r="AW207" i="1"/>
  <c r="AW208" i="1"/>
  <c r="AW209" i="1"/>
  <c r="AW210" i="1"/>
  <c r="AW211" i="1"/>
  <c r="AW212" i="1"/>
  <c r="AW213" i="1"/>
  <c r="AW214" i="1"/>
  <c r="AW215" i="1"/>
  <c r="AW216" i="1"/>
  <c r="AW218" i="1"/>
  <c r="AW219" i="1"/>
  <c r="AW220" i="1"/>
  <c r="AW221" i="1"/>
  <c r="AW222" i="1"/>
  <c r="AW223" i="1"/>
  <c r="AW224" i="1"/>
  <c r="AW225" i="1"/>
  <c r="AW226" i="1"/>
  <c r="AW227" i="1"/>
  <c r="AW228" i="1"/>
  <c r="AW229" i="1"/>
  <c r="AW230" i="1"/>
  <c r="AW231" i="1"/>
  <c r="AW232" i="1"/>
  <c r="AW233" i="1"/>
  <c r="AW234" i="1"/>
  <c r="AW235" i="1"/>
  <c r="AW236" i="1"/>
  <c r="AW238" i="1"/>
  <c r="AW239" i="1"/>
  <c r="AW240" i="1"/>
  <c r="AW241" i="1"/>
  <c r="AW242" i="1"/>
  <c r="AW243" i="1"/>
  <c r="AW244" i="1"/>
  <c r="AW245" i="1"/>
  <c r="AW246" i="1"/>
  <c r="AW247" i="1"/>
  <c r="AW248" i="1"/>
  <c r="AW249" i="1"/>
  <c r="AW250" i="1"/>
  <c r="AW251" i="1"/>
  <c r="AW252" i="1"/>
  <c r="AW253" i="1"/>
  <c r="AW254" i="1"/>
  <c r="AW255" i="1"/>
  <c r="AW256" i="1"/>
  <c r="AW257" i="1"/>
  <c r="AW258" i="1"/>
  <c r="AW259" i="1"/>
  <c r="AW260" i="1"/>
  <c r="AW261" i="1"/>
  <c r="AW262" i="1"/>
  <c r="AW263" i="1"/>
  <c r="AW264" i="1"/>
  <c r="AW265" i="1"/>
  <c r="AW266" i="1"/>
  <c r="AW267" i="1"/>
  <c r="AW268" i="1"/>
  <c r="AW269" i="1"/>
  <c r="AW270" i="1"/>
  <c r="AW271" i="1"/>
  <c r="AW272" i="1"/>
  <c r="AW273" i="1"/>
  <c r="AW274" i="1"/>
  <c r="AW275" i="1"/>
  <c r="AW276" i="1"/>
  <c r="AW277" i="1"/>
  <c r="AW278" i="1"/>
  <c r="AW279" i="1"/>
  <c r="AW280" i="1"/>
  <c r="AW281" i="1"/>
  <c r="AW282" i="1"/>
  <c r="AW283" i="1"/>
  <c r="AW284" i="1"/>
  <c r="AW285" i="1"/>
  <c r="AW286" i="1"/>
  <c r="AW287" i="1"/>
  <c r="AW288" i="1"/>
  <c r="AW289" i="1"/>
  <c r="AW290" i="1"/>
  <c r="AW291" i="1"/>
  <c r="AW292" i="1"/>
  <c r="AW293" i="1"/>
  <c r="AW294" i="1"/>
  <c r="AW296" i="1"/>
  <c r="AW297" i="1"/>
  <c r="AW298" i="1"/>
  <c r="AW299" i="1"/>
  <c r="AW300" i="1"/>
  <c r="AW301" i="1"/>
  <c r="AW302" i="1"/>
  <c r="AW303" i="1"/>
  <c r="AW304" i="1"/>
  <c r="AW305" i="1"/>
  <c r="AW306" i="1"/>
  <c r="AW307" i="1"/>
  <c r="AW308" i="1"/>
  <c r="AW309" i="1"/>
  <c r="AW310" i="1"/>
  <c r="AW311" i="1"/>
  <c r="AW312" i="1"/>
  <c r="AW313" i="1"/>
  <c r="AW314" i="1"/>
  <c r="AW315" i="1"/>
  <c r="AW316" i="1"/>
  <c r="AW317" i="1"/>
  <c r="AW318" i="1"/>
  <c r="AW319" i="1"/>
  <c r="AW320" i="1"/>
  <c r="AW321" i="1"/>
  <c r="AW322" i="1"/>
  <c r="AW323" i="1"/>
  <c r="AW324" i="1"/>
  <c r="AW325" i="1"/>
  <c r="AW326" i="1"/>
  <c r="AW327" i="1"/>
  <c r="AW328" i="1"/>
  <c r="AW329" i="1"/>
  <c r="AW330" i="1"/>
  <c r="AW331" i="1"/>
  <c r="AW332" i="1"/>
  <c r="AW333" i="1"/>
  <c r="AW334" i="1"/>
  <c r="AW335" i="1"/>
  <c r="AW336" i="1"/>
  <c r="AW337" i="1"/>
  <c r="AW338" i="1"/>
  <c r="AW339" i="1"/>
  <c r="AW340" i="1"/>
  <c r="AW341" i="1"/>
  <c r="AW342" i="1"/>
  <c r="AW343" i="1"/>
  <c r="AW344" i="1"/>
  <c r="AW345" i="1"/>
  <c r="AW346" i="1"/>
  <c r="AW347" i="1"/>
  <c r="AW348" i="1"/>
  <c r="AW349" i="1"/>
  <c r="AW350" i="1"/>
  <c r="AW351" i="1"/>
  <c r="AW352" i="1"/>
  <c r="AW353" i="1"/>
  <c r="AW354" i="1"/>
  <c r="AW355" i="1"/>
  <c r="AW356" i="1"/>
  <c r="AW357" i="1"/>
  <c r="AW358" i="1"/>
  <c r="AW359" i="1"/>
  <c r="AW360" i="1"/>
  <c r="AW361" i="1"/>
  <c r="AW362" i="1"/>
  <c r="AW363" i="1"/>
  <c r="AW364" i="1"/>
  <c r="AW365" i="1"/>
  <c r="AW366" i="1"/>
  <c r="AW367" i="1"/>
  <c r="AW368" i="1"/>
  <c r="AW369" i="1"/>
  <c r="AW370" i="1"/>
  <c r="AW371" i="1"/>
  <c r="AW372" i="1"/>
  <c r="AW373" i="1"/>
  <c r="AW374" i="1"/>
  <c r="AW375" i="1"/>
  <c r="AW376" i="1"/>
  <c r="AW377" i="1"/>
  <c r="AW378" i="1"/>
  <c r="AW379" i="1"/>
  <c r="AW380" i="1"/>
  <c r="AW381" i="1"/>
  <c r="AW382" i="1"/>
  <c r="AW383" i="1"/>
  <c r="AW384" i="1"/>
  <c r="AW385" i="1"/>
  <c r="AW386" i="1"/>
  <c r="AW387" i="1"/>
  <c r="AW388" i="1"/>
  <c r="AW389" i="1"/>
  <c r="AW390" i="1"/>
  <c r="AW391" i="1"/>
  <c r="AW392" i="1"/>
  <c r="AW393" i="1"/>
  <c r="AW394" i="1"/>
  <c r="AW395" i="1"/>
  <c r="AW396" i="1"/>
  <c r="AW397" i="1"/>
  <c r="AW398" i="1"/>
  <c r="AW399" i="1"/>
  <c r="AW400" i="1"/>
  <c r="AW401" i="1"/>
  <c r="AW402" i="1"/>
  <c r="AW403" i="1"/>
  <c r="AW404" i="1"/>
  <c r="AW405" i="1"/>
  <c r="AW406" i="1"/>
  <c r="AW407" i="1"/>
  <c r="AW408" i="1"/>
  <c r="AW409" i="1"/>
  <c r="AW410" i="1"/>
  <c r="AW411" i="1"/>
  <c r="AW412" i="1"/>
  <c r="AW413" i="1"/>
  <c r="AW414" i="1"/>
  <c r="AW415" i="1"/>
  <c r="AW416" i="1"/>
  <c r="AW417" i="1"/>
  <c r="AW418" i="1"/>
  <c r="AW419" i="1"/>
  <c r="AW420" i="1"/>
  <c r="AW421" i="1"/>
  <c r="AW422" i="1"/>
  <c r="AW423" i="1"/>
  <c r="AW424" i="1"/>
  <c r="AW425" i="1"/>
  <c r="AW426" i="1"/>
  <c r="AW427" i="1"/>
  <c r="AW428" i="1"/>
  <c r="AW430" i="1"/>
  <c r="AW431" i="1"/>
  <c r="AW432" i="1"/>
  <c r="AW433" i="1"/>
  <c r="AW434" i="1"/>
  <c r="AW435" i="1"/>
  <c r="AW436" i="1"/>
  <c r="AW437" i="1"/>
  <c r="AW438" i="1"/>
  <c r="AW439" i="1"/>
  <c r="AW440" i="1"/>
  <c r="AW441" i="1"/>
  <c r="AW442" i="1"/>
  <c r="AW443" i="1"/>
  <c r="AW444" i="1"/>
  <c r="AW445" i="1"/>
  <c r="AW446" i="1"/>
  <c r="AW447" i="1"/>
  <c r="AW448" i="1"/>
  <c r="AW449" i="1"/>
  <c r="AW450" i="1"/>
  <c r="AW451" i="1"/>
  <c r="AW452" i="1"/>
  <c r="AW453" i="1"/>
  <c r="AW454" i="1"/>
  <c r="AW455" i="1"/>
  <c r="AW456" i="1"/>
  <c r="AW457" i="1"/>
  <c r="AW458" i="1"/>
  <c r="AW459" i="1"/>
  <c r="AW460" i="1"/>
  <c r="AW461" i="1"/>
  <c r="AW462" i="1"/>
  <c r="AW463" i="1"/>
  <c r="AW464" i="1"/>
  <c r="AW465" i="1"/>
  <c r="AW466" i="1"/>
  <c r="AW467" i="1"/>
  <c r="AW468" i="1"/>
  <c r="AW469" i="1"/>
  <c r="AW470" i="1"/>
  <c r="AW471" i="1"/>
  <c r="AW472" i="1"/>
  <c r="AW473" i="1"/>
  <c r="AW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5" i="1"/>
  <c r="AC136" i="1"/>
  <c r="AC137" i="1"/>
  <c r="AC138" i="1"/>
  <c r="AC139" i="1"/>
  <c r="AC140" i="1"/>
  <c r="AC141" i="1"/>
  <c r="AC142" i="1"/>
  <c r="AC143" i="1"/>
  <c r="AC144" i="1"/>
  <c r="AC145" i="1"/>
  <c r="AC146" i="1"/>
  <c r="AC147" i="1"/>
  <c r="AC148" i="1"/>
  <c r="AC149" i="1"/>
  <c r="AC150" i="1"/>
  <c r="AC151" i="1"/>
  <c r="AC152" i="1"/>
  <c r="AC153" i="1"/>
  <c r="AC154" i="1"/>
  <c r="AC156" i="1"/>
  <c r="AC157" i="1"/>
  <c r="AC158" i="1"/>
  <c r="AC159" i="1"/>
  <c r="AC160" i="1"/>
  <c r="AC161" i="1"/>
  <c r="AC162" i="1"/>
  <c r="AC163" i="1"/>
  <c r="AC164" i="1"/>
  <c r="AC165" i="1"/>
  <c r="AC166" i="1"/>
  <c r="AC167" i="1"/>
  <c r="AC168"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8" i="1"/>
  <c r="AC219" i="1"/>
  <c r="AC220" i="1"/>
  <c r="AC221" i="1"/>
  <c r="AC222" i="1"/>
  <c r="AC223" i="1"/>
  <c r="AC224" i="1"/>
  <c r="AC225" i="1"/>
  <c r="AC226" i="1"/>
  <c r="AC227" i="1"/>
  <c r="AC228" i="1"/>
  <c r="AC229" i="1"/>
  <c r="AC230" i="1"/>
  <c r="AC231" i="1"/>
  <c r="AC232" i="1"/>
  <c r="AC233" i="1"/>
  <c r="AC234" i="1"/>
  <c r="AC235" i="1"/>
  <c r="AC236"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5" i="1"/>
  <c r="AC546" i="1"/>
  <c r="AC547" i="1"/>
  <c r="AC552" i="1"/>
  <c r="AC553" i="1"/>
  <c r="AC555" i="1"/>
  <c r="AC560" i="1"/>
  <c r="AC564" i="1"/>
  <c r="AC563" i="1"/>
  <c r="AC568" i="1"/>
  <c r="AC569" i="1"/>
  <c r="AC570" i="1"/>
  <c r="AC572" i="1"/>
  <c r="AC580" i="1"/>
  <c r="AC634" i="1"/>
  <c r="AC654" i="1"/>
  <c r="AC659" i="1"/>
  <c r="AC685" i="1"/>
  <c r="AC1119" i="1"/>
  <c r="AC1158" i="1"/>
  <c r="AC1253" i="1"/>
  <c r="AC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5" i="1"/>
  <c r="V136" i="1"/>
  <c r="V137" i="1"/>
  <c r="V138" i="1"/>
  <c r="V139" i="1"/>
  <c r="V140" i="1"/>
  <c r="V141" i="1"/>
  <c r="V142" i="1"/>
  <c r="V143" i="1"/>
  <c r="V144" i="1"/>
  <c r="V145" i="1"/>
  <c r="V146" i="1"/>
  <c r="V147" i="1"/>
  <c r="V148" i="1"/>
  <c r="V149" i="1"/>
  <c r="V150" i="1"/>
  <c r="V151" i="1"/>
  <c r="V152" i="1"/>
  <c r="V153" i="1"/>
  <c r="V154" i="1"/>
  <c r="V156" i="1"/>
  <c r="V157" i="1"/>
  <c r="V158" i="1"/>
  <c r="V159" i="1"/>
  <c r="V160" i="1"/>
  <c r="V161" i="1"/>
  <c r="V162" i="1"/>
  <c r="V163" i="1"/>
  <c r="V164" i="1"/>
  <c r="V165" i="1"/>
  <c r="V166" i="1"/>
  <c r="V167" i="1"/>
  <c r="V168"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8" i="1"/>
  <c r="V219" i="1"/>
  <c r="V220" i="1"/>
  <c r="V221" i="1"/>
  <c r="V222" i="1"/>
  <c r="V223" i="1"/>
  <c r="V224" i="1"/>
  <c r="V225" i="1"/>
  <c r="V226" i="1"/>
  <c r="V227" i="1"/>
  <c r="V228" i="1"/>
  <c r="V229" i="1"/>
  <c r="V230" i="1"/>
  <c r="V231" i="1"/>
  <c r="V232" i="1"/>
  <c r="V233" i="1"/>
  <c r="V234" i="1"/>
  <c r="V235" i="1"/>
  <c r="V236"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5" i="1"/>
  <c r="V546" i="1"/>
  <c r="V547" i="1"/>
  <c r="V552" i="1"/>
  <c r="V553" i="1"/>
  <c r="V555" i="1"/>
  <c r="V560" i="1"/>
  <c r="V564" i="1"/>
  <c r="V563" i="1"/>
  <c r="V568" i="1"/>
  <c r="V569" i="1"/>
  <c r="V570" i="1"/>
  <c r="V572" i="1"/>
  <c r="V580" i="1"/>
  <c r="V634" i="1"/>
  <c r="V654" i="1"/>
  <c r="V659" i="1"/>
  <c r="V685" i="1"/>
  <c r="V1119" i="1"/>
  <c r="V1158" i="1"/>
  <c r="V1253" i="1"/>
  <c r="V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5" i="1"/>
  <c r="O136" i="1"/>
  <c r="O137" i="1"/>
  <c r="O138" i="1"/>
  <c r="O139" i="1"/>
  <c r="O140" i="1"/>
  <c r="O141" i="1"/>
  <c r="O142" i="1"/>
  <c r="O143" i="1"/>
  <c r="O144" i="1"/>
  <c r="O145" i="1"/>
  <c r="O146" i="1"/>
  <c r="O147" i="1"/>
  <c r="O148" i="1"/>
  <c r="O149" i="1"/>
  <c r="O150" i="1"/>
  <c r="O151" i="1"/>
  <c r="O152" i="1"/>
  <c r="O153" i="1"/>
  <c r="O154" i="1"/>
  <c r="O156" i="1"/>
  <c r="O157" i="1"/>
  <c r="O158" i="1"/>
  <c r="O159" i="1"/>
  <c r="O160" i="1"/>
  <c r="O161" i="1"/>
  <c r="O162" i="1"/>
  <c r="O163" i="1"/>
  <c r="O164" i="1"/>
  <c r="O165" i="1"/>
  <c r="O166" i="1"/>
  <c r="O167" i="1"/>
  <c r="O168"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8" i="1"/>
  <c r="O219" i="1"/>
  <c r="O220" i="1"/>
  <c r="O221" i="1"/>
  <c r="O222" i="1"/>
  <c r="O223" i="1"/>
  <c r="O224" i="1"/>
  <c r="O225" i="1"/>
  <c r="O226" i="1"/>
  <c r="O227" i="1"/>
  <c r="O228" i="1"/>
  <c r="O229" i="1"/>
  <c r="O230" i="1"/>
  <c r="O231" i="1"/>
  <c r="O232" i="1"/>
  <c r="O233" i="1"/>
  <c r="O234" i="1"/>
  <c r="O235" i="1"/>
  <c r="O236"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5" i="1"/>
  <c r="O546" i="1"/>
  <c r="O547" i="1"/>
  <c r="O552" i="1"/>
  <c r="O553" i="1"/>
  <c r="O555" i="1"/>
  <c r="O560" i="1"/>
  <c r="O564" i="1"/>
  <c r="O563" i="1"/>
  <c r="O568" i="1"/>
  <c r="O569" i="1"/>
  <c r="O570" i="1"/>
  <c r="O572" i="1"/>
  <c r="O580" i="1"/>
  <c r="O634" i="1"/>
  <c r="O654" i="1"/>
  <c r="O659" i="1"/>
  <c r="O1119" i="1"/>
  <c r="O1158" i="1"/>
  <c r="O1253" i="1"/>
  <c r="O6" i="1"/>
  <c r="A550" i="5"/>
  <c r="A549" i="5"/>
  <c r="A548" i="5"/>
  <c r="A547" i="5"/>
  <c r="A546" i="5"/>
  <c r="A545" i="5"/>
  <c r="A544" i="5"/>
  <c r="A543" i="5"/>
  <c r="A542" i="5"/>
  <c r="A541" i="5"/>
  <c r="A539" i="5"/>
  <c r="A538" i="5"/>
  <c r="A537" i="5"/>
  <c r="A536" i="5"/>
  <c r="A534" i="5"/>
  <c r="A533" i="5"/>
  <c r="A532" i="5"/>
  <c r="A530" i="5"/>
  <c r="A529" i="5"/>
  <c r="A528" i="5"/>
  <c r="A526" i="5"/>
  <c r="A525" i="5"/>
  <c r="A524" i="5"/>
  <c r="A523" i="5"/>
  <c r="A522" i="5"/>
  <c r="A521" i="5"/>
  <c r="A520" i="5"/>
  <c r="A518" i="5"/>
  <c r="A517" i="5"/>
  <c r="A516" i="5"/>
  <c r="A515" i="5"/>
  <c r="A514" i="5"/>
  <c r="A511" i="5"/>
  <c r="A510" i="5"/>
  <c r="A509" i="5"/>
  <c r="A508" i="5"/>
  <c r="A507" i="5"/>
  <c r="A505" i="5"/>
  <c r="A504" i="5"/>
  <c r="A503" i="5"/>
  <c r="A502" i="5"/>
  <c r="A500" i="5"/>
  <c r="A499" i="5"/>
  <c r="A498" i="5"/>
  <c r="A497" i="5"/>
  <c r="A496" i="5"/>
  <c r="A495" i="5"/>
  <c r="A494" i="5"/>
  <c r="A493" i="5"/>
  <c r="A492" i="5"/>
  <c r="A491" i="5"/>
  <c r="A490" i="5"/>
  <c r="A489" i="5"/>
  <c r="A488" i="5"/>
  <c r="A487" i="5"/>
  <c r="A486" i="5"/>
  <c r="A485" i="5"/>
  <c r="A484" i="5"/>
  <c r="A483" i="5"/>
  <c r="A482" i="5"/>
  <c r="A480" i="5"/>
  <c r="A479" i="5"/>
  <c r="A478" i="5"/>
  <c r="A477" i="5"/>
  <c r="A476" i="5"/>
  <c r="A475" i="5"/>
  <c r="A474" i="5"/>
  <c r="A473" i="5"/>
  <c r="A472" i="5"/>
  <c r="A470" i="5"/>
  <c r="A469" i="5"/>
  <c r="A468" i="5"/>
  <c r="A467" i="5"/>
  <c r="A465" i="5"/>
  <c r="A464" i="5"/>
  <c r="A463" i="5"/>
  <c r="A462" i="5"/>
  <c r="A461" i="5"/>
  <c r="A460" i="5"/>
  <c r="A459" i="5"/>
  <c r="A458" i="5"/>
  <c r="A456" i="5"/>
  <c r="A455" i="5"/>
  <c r="A454" i="5"/>
  <c r="A453" i="5"/>
  <c r="A451" i="5"/>
  <c r="A450" i="5"/>
  <c r="A449" i="5"/>
  <c r="A447" i="5"/>
  <c r="A446" i="5"/>
  <c r="A444" i="5"/>
  <c r="A442" i="5"/>
  <c r="A441" i="5"/>
  <c r="A439" i="5"/>
  <c r="A438" i="5"/>
  <c r="A436" i="5"/>
  <c r="A434" i="5"/>
  <c r="A432" i="5"/>
  <c r="A429" i="5"/>
  <c r="A428" i="5"/>
  <c r="A427" i="5"/>
  <c r="A426" i="5"/>
  <c r="A425" i="5"/>
  <c r="A422" i="5"/>
  <c r="A421" i="5"/>
  <c r="A420" i="5"/>
  <c r="A419" i="5"/>
  <c r="A417" i="5"/>
  <c r="A416" i="5"/>
  <c r="A414" i="5"/>
  <c r="A413" i="5"/>
  <c r="A411" i="5"/>
  <c r="A410" i="5"/>
  <c r="A409" i="5"/>
  <c r="A408" i="5"/>
  <c r="A407" i="5"/>
  <c r="A406" i="5"/>
  <c r="A405" i="5"/>
  <c r="A404" i="5"/>
  <c r="A403" i="5"/>
  <c r="A402" i="5"/>
  <c r="A401" i="5"/>
  <c r="A400" i="5"/>
  <c r="A399" i="5"/>
  <c r="A398" i="5"/>
  <c r="A397" i="5"/>
  <c r="A396" i="5"/>
  <c r="A395" i="5"/>
  <c r="A394" i="5"/>
  <c r="A392" i="5"/>
  <c r="A391" i="5"/>
  <c r="A390" i="5"/>
  <c r="A389" i="5"/>
  <c r="A388" i="5"/>
  <c r="A387" i="5"/>
  <c r="A386" i="5"/>
  <c r="A385" i="5"/>
  <c r="A384" i="5"/>
  <c r="A382" i="5"/>
  <c r="A380" i="5"/>
  <c r="A379" i="5"/>
  <c r="A378" i="5"/>
  <c r="A377" i="5"/>
  <c r="A376" i="5"/>
  <c r="A375" i="5"/>
  <c r="A374" i="5"/>
  <c r="A373" i="5"/>
  <c r="A372" i="5"/>
  <c r="A371" i="5"/>
  <c r="A370" i="5"/>
  <c r="A369" i="5"/>
  <c r="A368" i="5"/>
  <c r="A366" i="5"/>
  <c r="A365" i="5"/>
  <c r="A364" i="5"/>
  <c r="A362" i="5"/>
  <c r="A361" i="5"/>
  <c r="A360" i="5"/>
  <c r="A358" i="5"/>
  <c r="A357" i="5"/>
  <c r="A356" i="5"/>
  <c r="A355" i="5"/>
  <c r="A353" i="5"/>
  <c r="A350" i="5"/>
  <c r="A349" i="5"/>
  <c r="A348" i="5"/>
  <c r="A347" i="5"/>
  <c r="A346" i="5"/>
  <c r="A345" i="5"/>
  <c r="A344" i="5"/>
  <c r="A343" i="5"/>
  <c r="A341" i="5"/>
  <c r="A340" i="5"/>
  <c r="A339" i="5"/>
  <c r="A338" i="5"/>
  <c r="A336" i="5"/>
  <c r="A334" i="5"/>
  <c r="A333" i="5"/>
  <c r="A332" i="5"/>
  <c r="A330" i="5"/>
  <c r="A329" i="5"/>
  <c r="A328" i="5"/>
  <c r="A327" i="5"/>
  <c r="A326" i="5"/>
  <c r="A325" i="5"/>
  <c r="A324" i="5"/>
  <c r="A323" i="5"/>
  <c r="A322" i="5"/>
  <c r="A321" i="5"/>
  <c r="A320" i="5"/>
  <c r="A319" i="5"/>
  <c r="A318" i="5"/>
  <c r="A317" i="5"/>
  <c r="A316" i="5"/>
  <c r="A315" i="5"/>
  <c r="A314" i="5"/>
  <c r="A313" i="5"/>
  <c r="A312" i="5"/>
  <c r="A311" i="5"/>
  <c r="A301" i="5"/>
  <c r="A300" i="5"/>
  <c r="A285" i="5"/>
  <c r="A283" i="5"/>
  <c r="A282" i="5"/>
  <c r="A281" i="5"/>
  <c r="A280" i="5"/>
  <c r="A279" i="5"/>
  <c r="A278" i="5"/>
  <c r="A277" i="5"/>
  <c r="A275" i="5"/>
  <c r="A274" i="5"/>
  <c r="A273" i="5"/>
  <c r="A272" i="5"/>
  <c r="A271" i="5"/>
  <c r="A270" i="5"/>
  <c r="A269" i="5"/>
  <c r="A268" i="5"/>
  <c r="A267" i="5"/>
  <c r="A266" i="5"/>
  <c r="A265"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5" i="5"/>
  <c r="A214" i="5"/>
  <c r="A213" i="5"/>
  <c r="A212" i="5"/>
  <c r="A211" i="5"/>
  <c r="A210" i="5"/>
  <c r="A209" i="5"/>
  <c r="A208" i="5"/>
  <c r="A207" i="5"/>
  <c r="A206" i="5"/>
  <c r="A205" i="5"/>
  <c r="A204" i="5"/>
  <c r="A203" i="5"/>
  <c r="A202" i="5"/>
  <c r="A201" i="5"/>
  <c r="A200" i="5"/>
  <c r="A199"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E170" i="5" s="1"/>
  <c r="A169" i="5"/>
  <c r="P169" i="5" s="1"/>
  <c r="A168" i="5"/>
  <c r="M168" i="5" s="1"/>
  <c r="A167" i="5"/>
  <c r="J167" i="5" s="1"/>
  <c r="A166" i="5"/>
  <c r="A165" i="5"/>
  <c r="A164" i="5"/>
  <c r="F164" i="5" s="1"/>
  <c r="A163" i="5"/>
  <c r="E163" i="5" s="1"/>
  <c r="A161" i="5"/>
  <c r="A160" i="5"/>
  <c r="A159" i="5"/>
  <c r="H159" i="5" s="1"/>
  <c r="A158" i="5"/>
  <c r="M158" i="5" s="1"/>
  <c r="A157" i="5"/>
  <c r="J157" i="5" s="1"/>
  <c r="A156" i="5"/>
  <c r="M156" i="5" s="1"/>
  <c r="A155" i="5"/>
  <c r="I155" i="5" s="1"/>
  <c r="A154" i="5"/>
  <c r="A153" i="5"/>
  <c r="H153" i="5" s="1"/>
  <c r="A152" i="5"/>
  <c r="N152" i="5" s="1"/>
  <c r="A151" i="5"/>
  <c r="A150" i="5"/>
  <c r="P150" i="5" s="1"/>
  <c r="A149" i="5"/>
  <c r="N149" i="5" s="1"/>
  <c r="A148" i="5"/>
  <c r="S148" i="5" s="1"/>
  <c r="A147" i="5"/>
  <c r="A146" i="5"/>
  <c r="D146" i="5" s="1"/>
  <c r="A145" i="5"/>
  <c r="N145" i="5" s="1"/>
  <c r="A144" i="5"/>
  <c r="M144" i="5" s="1"/>
  <c r="A143" i="5"/>
  <c r="H143" i="5" s="1"/>
  <c r="A142" i="5"/>
  <c r="R142" i="5" s="1"/>
  <c r="A141" i="5"/>
  <c r="M141" i="5" s="1"/>
  <c r="A138" i="5"/>
  <c r="P138" i="5" s="1"/>
  <c r="A136" i="5"/>
  <c r="A135" i="5"/>
  <c r="I135" i="5" s="1"/>
  <c r="A134" i="5"/>
  <c r="A133" i="5"/>
  <c r="A132" i="5"/>
  <c r="A131" i="5"/>
  <c r="P131" i="5" s="1"/>
  <c r="A130" i="5"/>
  <c r="J130" i="5" s="1"/>
  <c r="A129" i="5"/>
  <c r="I129" i="5" s="1"/>
  <c r="A128" i="5"/>
  <c r="K128" i="5" s="1"/>
  <c r="A127" i="5"/>
  <c r="P127" i="5" s="1"/>
  <c r="A126" i="5"/>
  <c r="A125" i="5"/>
  <c r="S125" i="5" s="1"/>
  <c r="A124" i="5"/>
  <c r="A123" i="5"/>
  <c r="N123" i="5" s="1"/>
  <c r="A122" i="5"/>
  <c r="A121" i="5"/>
  <c r="L121" i="5" s="1"/>
  <c r="A119" i="5"/>
  <c r="A117" i="5"/>
  <c r="G117" i="5" s="1"/>
  <c r="A116" i="5"/>
  <c r="B116" i="5" s="1"/>
  <c r="A115" i="5"/>
  <c r="P115" i="5" s="1"/>
  <c r="A114" i="5"/>
  <c r="J114" i="5" s="1"/>
  <c r="A113" i="5"/>
  <c r="A112" i="5"/>
  <c r="E112" i="5" s="1"/>
  <c r="A110" i="5"/>
  <c r="S110" i="5" s="1"/>
  <c r="A109" i="5"/>
  <c r="L109" i="5" s="1"/>
  <c r="A108" i="5"/>
  <c r="J108" i="5" s="1"/>
  <c r="A107" i="5"/>
  <c r="A106" i="5"/>
  <c r="A105" i="5"/>
  <c r="A104" i="5"/>
  <c r="S104" i="5" s="1"/>
  <c r="A103" i="5"/>
  <c r="H103" i="5" s="1"/>
  <c r="A102" i="5"/>
  <c r="A101" i="5"/>
  <c r="M101" i="5" s="1"/>
  <c r="A99" i="5"/>
  <c r="A98" i="5"/>
  <c r="A96" i="5"/>
  <c r="L96" i="5" s="1"/>
  <c r="A94" i="5"/>
  <c r="O94" i="5" s="1"/>
  <c r="A90" i="5"/>
  <c r="O90" i="5" s="1"/>
  <c r="A89" i="5"/>
  <c r="A88" i="5"/>
  <c r="A87" i="5"/>
  <c r="A86" i="5"/>
  <c r="H86" i="5" s="1"/>
  <c r="A85" i="5"/>
  <c r="S85" i="5" s="1"/>
  <c r="A83" i="5"/>
  <c r="A82" i="5"/>
  <c r="M82" i="5" s="1"/>
  <c r="A81" i="5"/>
  <c r="A80" i="5"/>
  <c r="S80" i="5" s="1"/>
  <c r="A79" i="5"/>
  <c r="L79" i="5" s="1"/>
  <c r="A76" i="5"/>
  <c r="A75" i="5"/>
  <c r="R75" i="5" s="1"/>
  <c r="A74" i="5"/>
  <c r="P74" i="5" s="1"/>
  <c r="A73" i="5"/>
  <c r="A71" i="5"/>
  <c r="S71" i="5" s="1"/>
  <c r="A70" i="5"/>
  <c r="K70" i="5" s="1"/>
  <c r="A69" i="5"/>
  <c r="I69" i="5" s="1"/>
  <c r="A66" i="5"/>
  <c r="A64" i="5"/>
  <c r="R64" i="5" s="1"/>
  <c r="A63" i="5"/>
  <c r="S63" i="5" s="1"/>
  <c r="A62" i="5"/>
  <c r="G62" i="5" s="1"/>
  <c r="A61" i="5"/>
  <c r="Q61" i="5" s="1"/>
  <c r="A60" i="5"/>
  <c r="A59" i="5"/>
  <c r="L59" i="5" s="1"/>
  <c r="A58" i="5"/>
  <c r="A57" i="5"/>
  <c r="S57" i="5" s="1"/>
  <c r="A56" i="5"/>
  <c r="A55" i="5"/>
  <c r="J55" i="5" s="1"/>
  <c r="A54" i="5"/>
  <c r="N54" i="5" s="1"/>
  <c r="A52" i="5"/>
  <c r="I52" i="5" s="1"/>
  <c r="A50" i="5"/>
  <c r="M50" i="5" s="1"/>
  <c r="A49" i="5"/>
  <c r="A48" i="5"/>
  <c r="K48" i="5" s="1"/>
  <c r="A46" i="5"/>
  <c r="I46" i="5" s="1"/>
  <c r="A45" i="5"/>
  <c r="A44" i="5"/>
  <c r="H44" i="5" s="1"/>
  <c r="A43" i="5"/>
  <c r="A41" i="5"/>
  <c r="S41" i="5" s="1"/>
  <c r="A39" i="5"/>
  <c r="I39" i="5" s="1"/>
  <c r="A37" i="5"/>
  <c r="O37" i="5" s="1"/>
  <c r="A36" i="5"/>
  <c r="R36" i="5" s="1"/>
  <c r="A35" i="5"/>
  <c r="E35" i="5" s="1"/>
  <c r="A34" i="5"/>
  <c r="L34" i="5" s="1"/>
  <c r="A33" i="5"/>
  <c r="S33" i="5" s="1"/>
  <c r="A30" i="5"/>
  <c r="L30" i="5" s="1"/>
  <c r="A29" i="5"/>
  <c r="R29" i="5" s="1"/>
  <c r="A28" i="5"/>
  <c r="A27" i="5"/>
  <c r="H27" i="5" s="1"/>
  <c r="A26" i="5"/>
  <c r="S26" i="5" s="1"/>
  <c r="A25" i="5"/>
  <c r="S25" i="5" s="1"/>
  <c r="A24" i="5"/>
  <c r="N24" i="5" s="1"/>
  <c r="A23" i="5"/>
  <c r="L23" i="5" s="1"/>
  <c r="A22" i="5"/>
  <c r="H22" i="5" s="1"/>
  <c r="A20" i="5"/>
  <c r="G20" i="5" s="1"/>
  <c r="A19" i="5"/>
  <c r="Q19" i="5" s="1"/>
  <c r="A17" i="5"/>
  <c r="D17" i="5" s="1"/>
  <c r="A12" i="5"/>
  <c r="L12" i="5" s="1"/>
  <c r="A8" i="5"/>
  <c r="J8" i="5" s="1"/>
  <c r="A7" i="5"/>
  <c r="A6" i="5"/>
  <c r="O6" i="5" s="1"/>
  <c r="A5" i="5"/>
  <c r="C5" i="5" s="1"/>
  <c r="A2" i="5"/>
  <c r="R2" i="5" s="1"/>
  <c r="AV686" i="1"/>
  <c r="AV685" i="1"/>
  <c r="AV659" i="1"/>
  <c r="AV654" i="1"/>
  <c r="AV634" i="1"/>
  <c r="AV580" i="1"/>
  <c r="AV572" i="1"/>
  <c r="AV570" i="1"/>
  <c r="AV569" i="1"/>
  <c r="AV568" i="1"/>
  <c r="AV545" i="1"/>
  <c r="AV564" i="1"/>
  <c r="AV560" i="1"/>
  <c r="AV555" i="1"/>
  <c r="AV547" i="1"/>
  <c r="AV553" i="1"/>
  <c r="AV552" i="1"/>
  <c r="AV546" i="1"/>
  <c r="AV542" i="1"/>
  <c r="AV543" i="1"/>
  <c r="AV541" i="1"/>
  <c r="AV540" i="1"/>
  <c r="AV539" i="1"/>
  <c r="AV538" i="1"/>
  <c r="AV537" i="1"/>
  <c r="AV536" i="1"/>
  <c r="AV535" i="1"/>
  <c r="AV534" i="1"/>
  <c r="AV533" i="1"/>
  <c r="AV532" i="1"/>
  <c r="AV531" i="1"/>
  <c r="AV530" i="1"/>
  <c r="AV529" i="1"/>
  <c r="AV528" i="1"/>
  <c r="AV527" i="1"/>
  <c r="AV526" i="1"/>
  <c r="AV525" i="1"/>
  <c r="AV523" i="1"/>
  <c r="AV524" i="1"/>
  <c r="AV522" i="1"/>
  <c r="AV521" i="1"/>
  <c r="AV517" i="1"/>
  <c r="AV520" i="1"/>
  <c r="AV519" i="1"/>
  <c r="AV515" i="1"/>
  <c r="AV518" i="1"/>
  <c r="AV516" i="1"/>
  <c r="AV514" i="1"/>
  <c r="AV513" i="1"/>
  <c r="AV508" i="1"/>
  <c r="AV511" i="1"/>
  <c r="AV507" i="1"/>
  <c r="AV510" i="1"/>
  <c r="AV509" i="1"/>
  <c r="AV506" i="1"/>
  <c r="AV505" i="1"/>
  <c r="AV512" i="1"/>
  <c r="AV504" i="1"/>
  <c r="AV501" i="1"/>
  <c r="AV498" i="1"/>
  <c r="AV500" i="1"/>
  <c r="AV502" i="1"/>
  <c r="AV503" i="1"/>
  <c r="AV499" i="1"/>
  <c r="AV497" i="1"/>
  <c r="AV496" i="1"/>
  <c r="AV494" i="1"/>
  <c r="AV493" i="1"/>
  <c r="AV495" i="1"/>
  <c r="AV490" i="1"/>
  <c r="AV492" i="1"/>
  <c r="AV491" i="1"/>
  <c r="AV489" i="1"/>
  <c r="AV488" i="1"/>
  <c r="AV487" i="1"/>
  <c r="AV486" i="1"/>
  <c r="AV485" i="1"/>
  <c r="AV484" i="1"/>
  <c r="AV483" i="1"/>
  <c r="AV482" i="1"/>
  <c r="AV480" i="1"/>
  <c r="AV479" i="1"/>
  <c r="AV478" i="1"/>
  <c r="AV477" i="1"/>
  <c r="AV476" i="1"/>
  <c r="AV475" i="1"/>
  <c r="AV474" i="1"/>
  <c r="AV473" i="1"/>
  <c r="AV472" i="1"/>
  <c r="AV471" i="1"/>
  <c r="AV470" i="1"/>
  <c r="AV469" i="1"/>
  <c r="AV468" i="1"/>
  <c r="AV467" i="1"/>
  <c r="AV466" i="1"/>
  <c r="AV465" i="1"/>
  <c r="AV464" i="1"/>
  <c r="AV463" i="1"/>
  <c r="AV462" i="1"/>
  <c r="AV461" i="1"/>
  <c r="AV460" i="1"/>
  <c r="AV459" i="1"/>
  <c r="AV458" i="1"/>
  <c r="AV457" i="1"/>
  <c r="AV456" i="1"/>
  <c r="AV455" i="1"/>
  <c r="AV454" i="1"/>
  <c r="AV453" i="1"/>
  <c r="AV452" i="1"/>
  <c r="AV451" i="1"/>
  <c r="AV450" i="1"/>
  <c r="AV449" i="1"/>
  <c r="AV448" i="1"/>
  <c r="AV447" i="1"/>
  <c r="AV446" i="1"/>
  <c r="AV445" i="1"/>
  <c r="AV444" i="1"/>
  <c r="AV442" i="1"/>
  <c r="AV441" i="1"/>
  <c r="AV440" i="1"/>
  <c r="AV439" i="1"/>
  <c r="AV438" i="1"/>
  <c r="AV437" i="1"/>
  <c r="AV436" i="1"/>
  <c r="AV435" i="1"/>
  <c r="AV434" i="1"/>
  <c r="AV433" i="1"/>
  <c r="AV432" i="1"/>
  <c r="AV431" i="1"/>
  <c r="AV430" i="1"/>
  <c r="AV428" i="1"/>
  <c r="AV427" i="1"/>
  <c r="AV426" i="1"/>
  <c r="AV425" i="1"/>
  <c r="AV424" i="1"/>
  <c r="AV423" i="1"/>
  <c r="AV422" i="1"/>
  <c r="AV421" i="1"/>
  <c r="AV420" i="1"/>
  <c r="AV419" i="1"/>
  <c r="AV418" i="1"/>
  <c r="AV417" i="1"/>
  <c r="AV416" i="1"/>
  <c r="AV415" i="1"/>
  <c r="AV414" i="1"/>
  <c r="AV413" i="1"/>
  <c r="AV412" i="1"/>
  <c r="AV411" i="1"/>
  <c r="AV410" i="1"/>
  <c r="AV409" i="1"/>
  <c r="AV408" i="1"/>
  <c r="AV407" i="1"/>
  <c r="AV406" i="1"/>
  <c r="AV405" i="1"/>
  <c r="AV404" i="1"/>
  <c r="AV403" i="1"/>
  <c r="AV402" i="1"/>
  <c r="AV401" i="1"/>
  <c r="AV400" i="1"/>
  <c r="AV399" i="1"/>
  <c r="AV398" i="1"/>
  <c r="AV397" i="1"/>
  <c r="AV396" i="1"/>
  <c r="AV395" i="1"/>
  <c r="AV394" i="1"/>
  <c r="AV393" i="1"/>
  <c r="AV392" i="1"/>
  <c r="AV391" i="1"/>
  <c r="AV390" i="1"/>
  <c r="AV389" i="1"/>
  <c r="AV388" i="1"/>
  <c r="AV387" i="1"/>
  <c r="AV386" i="1"/>
  <c r="AV385" i="1"/>
  <c r="AV384" i="1"/>
  <c r="AV383" i="1"/>
  <c r="AV382" i="1"/>
  <c r="AV381" i="1"/>
  <c r="AV380" i="1"/>
  <c r="AV379" i="1"/>
  <c r="AV378" i="1"/>
  <c r="AV377" i="1"/>
  <c r="AV376" i="1"/>
  <c r="AV375" i="1"/>
  <c r="AV374" i="1"/>
  <c r="AV373" i="1"/>
  <c r="AV372" i="1"/>
  <c r="AV371" i="1"/>
  <c r="AV370" i="1"/>
  <c r="AV369" i="1"/>
  <c r="AV368" i="1"/>
  <c r="AV367" i="1"/>
  <c r="AV366" i="1"/>
  <c r="AV365" i="1"/>
  <c r="AV364" i="1"/>
  <c r="AV363" i="1"/>
  <c r="AV362" i="1"/>
  <c r="AV361" i="1"/>
  <c r="AV360" i="1"/>
  <c r="AV359" i="1"/>
  <c r="AV358" i="1"/>
  <c r="AV357" i="1"/>
  <c r="AV356" i="1"/>
  <c r="AV355" i="1"/>
  <c r="AV354" i="1"/>
  <c r="AV352" i="1"/>
  <c r="AV351" i="1"/>
  <c r="AV350" i="1"/>
  <c r="AV349" i="1"/>
  <c r="AV348" i="1"/>
  <c r="AV347" i="1"/>
  <c r="AV346" i="1"/>
  <c r="AV345" i="1"/>
  <c r="AV344" i="1"/>
  <c r="AV343" i="1"/>
  <c r="AV342" i="1"/>
  <c r="AV341" i="1"/>
  <c r="AV340" i="1"/>
  <c r="AV339" i="1"/>
  <c r="AV338" i="1"/>
  <c r="AV337" i="1"/>
  <c r="AV336" i="1"/>
  <c r="AV335" i="1"/>
  <c r="AV334" i="1"/>
  <c r="AV333" i="1"/>
  <c r="AV332" i="1"/>
  <c r="AV331" i="1"/>
  <c r="AV330" i="1"/>
  <c r="AV329" i="1"/>
  <c r="AV328" i="1"/>
  <c r="M328" i="1"/>
  <c r="AV327" i="1"/>
  <c r="AV326" i="1"/>
  <c r="AV325" i="1"/>
  <c r="AV324" i="1"/>
  <c r="AV323" i="1"/>
  <c r="AV322" i="1"/>
  <c r="AV321" i="1"/>
  <c r="AV320" i="1"/>
  <c r="AV319" i="1"/>
  <c r="AV318" i="1"/>
  <c r="AV317" i="1"/>
  <c r="AV316" i="1"/>
  <c r="AV315" i="1"/>
  <c r="AV314" i="1"/>
  <c r="AV313" i="1"/>
  <c r="AV312" i="1"/>
  <c r="AV311" i="1"/>
  <c r="AV310" i="1"/>
  <c r="AV309" i="1"/>
  <c r="AV308" i="1"/>
  <c r="AV307" i="1"/>
  <c r="AV306" i="1"/>
  <c r="AV305" i="1"/>
  <c r="AV304" i="1"/>
  <c r="AV303" i="1"/>
  <c r="AV302" i="1"/>
  <c r="AV301" i="1"/>
  <c r="AV300" i="1"/>
  <c r="AV299" i="1"/>
  <c r="AV298" i="1"/>
  <c r="AV297" i="1"/>
  <c r="AV296" i="1"/>
  <c r="AV294" i="1"/>
  <c r="AV293" i="1"/>
  <c r="AV292" i="1"/>
  <c r="AV291" i="1"/>
  <c r="AV290" i="1"/>
  <c r="AV289" i="1"/>
  <c r="AV288" i="1"/>
  <c r="AV287" i="1"/>
  <c r="AV286" i="1"/>
  <c r="AV285" i="1"/>
  <c r="AV284" i="1"/>
  <c r="AV283" i="1"/>
  <c r="AV282" i="1"/>
  <c r="AV281" i="1"/>
  <c r="AV280" i="1"/>
  <c r="AV279" i="1"/>
  <c r="AV278" i="1"/>
  <c r="AV277" i="1"/>
  <c r="AV276" i="1"/>
  <c r="AV275" i="1"/>
  <c r="AV274" i="1"/>
  <c r="AV273" i="1"/>
  <c r="AV272" i="1"/>
  <c r="AV271" i="1"/>
  <c r="AV270" i="1"/>
  <c r="AV269" i="1"/>
  <c r="AV268" i="1"/>
  <c r="AV267" i="1"/>
  <c r="AV266" i="1"/>
  <c r="AV265" i="1"/>
  <c r="AV264" i="1"/>
  <c r="AV263" i="1"/>
  <c r="AV262" i="1"/>
  <c r="AV261" i="1"/>
  <c r="AV260" i="1"/>
  <c r="AV259" i="1"/>
  <c r="AV258" i="1"/>
  <c r="AV257" i="1"/>
  <c r="AV256" i="1"/>
  <c r="AV255" i="1"/>
  <c r="AV254" i="1"/>
  <c r="AV253" i="1"/>
  <c r="AV252" i="1"/>
  <c r="AV251" i="1"/>
  <c r="AV250" i="1"/>
  <c r="AV249" i="1"/>
  <c r="AV248" i="1"/>
  <c r="AV247" i="1"/>
  <c r="AV246" i="1"/>
  <c r="AV245" i="1"/>
  <c r="AV244" i="1"/>
  <c r="AV243" i="1"/>
  <c r="AV242" i="1"/>
  <c r="AV241" i="1"/>
  <c r="AV240" i="1"/>
  <c r="AV239" i="1"/>
  <c r="AV238" i="1"/>
  <c r="AV236" i="1"/>
  <c r="AV235" i="1"/>
  <c r="AV234" i="1"/>
  <c r="AV233" i="1"/>
  <c r="AV232" i="1"/>
  <c r="AV231" i="1"/>
  <c r="AV230" i="1"/>
  <c r="AV229" i="1"/>
  <c r="AV228" i="1"/>
  <c r="AV227" i="1"/>
  <c r="AV226" i="1"/>
  <c r="AV225" i="1"/>
  <c r="AV224" i="1"/>
  <c r="AV223" i="1"/>
  <c r="AV222" i="1"/>
  <c r="AV221" i="1"/>
  <c r="AV220" i="1"/>
  <c r="AV219" i="1"/>
  <c r="AV218" i="1"/>
  <c r="AV216" i="1"/>
  <c r="AV215" i="1"/>
  <c r="AV214" i="1"/>
  <c r="AV213" i="1"/>
  <c r="AV212" i="1"/>
  <c r="AV211" i="1"/>
  <c r="AV210" i="1"/>
  <c r="AV209" i="1"/>
  <c r="AV208" i="1"/>
  <c r="AV207" i="1"/>
  <c r="AV206" i="1"/>
  <c r="AV205" i="1"/>
  <c r="AV204" i="1"/>
  <c r="AV203" i="1"/>
  <c r="AV202" i="1"/>
  <c r="AV201" i="1"/>
  <c r="AV200" i="1"/>
  <c r="AV199" i="1"/>
  <c r="AV198" i="1"/>
  <c r="AV197" i="1"/>
  <c r="AV196" i="1"/>
  <c r="AV195" i="1"/>
  <c r="AV194" i="1"/>
  <c r="AV193" i="1"/>
  <c r="AV192" i="1"/>
  <c r="AV191" i="1"/>
  <c r="AV190" i="1"/>
  <c r="AV189" i="1"/>
  <c r="AV188" i="1"/>
  <c r="AV187" i="1"/>
  <c r="AV186" i="1"/>
  <c r="AV185" i="1"/>
  <c r="AV184" i="1"/>
  <c r="AV183" i="1"/>
  <c r="AV182" i="1"/>
  <c r="AV181" i="1"/>
  <c r="AV180" i="1"/>
  <c r="AV179" i="1"/>
  <c r="AV178" i="1"/>
  <c r="AV177" i="1"/>
  <c r="AV176" i="1"/>
  <c r="AV175" i="1"/>
  <c r="AV174" i="1"/>
  <c r="K171" i="5" s="1"/>
  <c r="AV173" i="1"/>
  <c r="AV172" i="1"/>
  <c r="AV171" i="1"/>
  <c r="AV170" i="1"/>
  <c r="AV168" i="1"/>
  <c r="AV167" i="1"/>
  <c r="AV166" i="1"/>
  <c r="AV165" i="1"/>
  <c r="AV164" i="1"/>
  <c r="AV163" i="1"/>
  <c r="AV162" i="1"/>
  <c r="AV161" i="1"/>
  <c r="AV160" i="1"/>
  <c r="AV159" i="1"/>
  <c r="AV158" i="1"/>
  <c r="AV157" i="1"/>
  <c r="AV156" i="1"/>
  <c r="Q151" i="5"/>
  <c r="AV154" i="1"/>
  <c r="AV153" i="1"/>
  <c r="AV152" i="1"/>
  <c r="AV151" i="1"/>
  <c r="AV150" i="1"/>
  <c r="AV149" i="1"/>
  <c r="AV148" i="1"/>
  <c r="AV147" i="1"/>
  <c r="AV146" i="1"/>
  <c r="AV145" i="1"/>
  <c r="AV144" i="1"/>
  <c r="AV143" i="1"/>
  <c r="AV142" i="1"/>
  <c r="AV141" i="1"/>
  <c r="AV140" i="1"/>
  <c r="AV139" i="1"/>
  <c r="AV138" i="1"/>
  <c r="AV137" i="1"/>
  <c r="AV136" i="1"/>
  <c r="AV135" i="1"/>
  <c r="AV133" i="1"/>
  <c r="AV132" i="1"/>
  <c r="AV131" i="1"/>
  <c r="AV130" i="1"/>
  <c r="AV129" i="1"/>
  <c r="AV128" i="1"/>
  <c r="AV127" i="1"/>
  <c r="AV126" i="1"/>
  <c r="AV125" i="1"/>
  <c r="AV124" i="1"/>
  <c r="AV123" i="1"/>
  <c r="AV122" i="1"/>
  <c r="AV121" i="1"/>
  <c r="AV120" i="1"/>
  <c r="AV119" i="1"/>
  <c r="AV118" i="1"/>
  <c r="AV117" i="1"/>
  <c r="AV116" i="1"/>
  <c r="AV115" i="1"/>
  <c r="AV114" i="1"/>
  <c r="AV113" i="1"/>
  <c r="AV112" i="1"/>
  <c r="AV111" i="1"/>
  <c r="AV110" i="1"/>
  <c r="K107" i="5" s="1"/>
  <c r="AV109" i="1"/>
  <c r="AV108" i="1"/>
  <c r="K105" i="5" s="1"/>
  <c r="AV107" i="1"/>
  <c r="AV106" i="1"/>
  <c r="AV105" i="1"/>
  <c r="AV104" i="1"/>
  <c r="AV103" i="1"/>
  <c r="AV102" i="1"/>
  <c r="AV101" i="1"/>
  <c r="AV100" i="1"/>
  <c r="AV99" i="1"/>
  <c r="AV98" i="1"/>
  <c r="AV97" i="1"/>
  <c r="AV96" i="1"/>
  <c r="AV95" i="1"/>
  <c r="AV94" i="1"/>
  <c r="AV93" i="1"/>
  <c r="AV92" i="1"/>
  <c r="AV91" i="1"/>
  <c r="AV90" i="1"/>
  <c r="K87" i="5" s="1"/>
  <c r="AV89" i="1"/>
  <c r="AV88" i="1"/>
  <c r="AV87" i="1"/>
  <c r="AV86" i="1"/>
  <c r="AV85" i="1"/>
  <c r="AV84" i="1"/>
  <c r="AV83" i="1"/>
  <c r="AV82" i="1"/>
  <c r="AV81" i="1"/>
  <c r="AV80" i="1"/>
  <c r="AV79" i="1"/>
  <c r="AV78" i="1"/>
  <c r="AV77" i="1"/>
  <c r="AV76" i="1"/>
  <c r="AV75" i="1"/>
  <c r="AV74" i="1"/>
  <c r="AV73" i="1"/>
  <c r="AV72" i="1"/>
  <c r="AV71" i="1"/>
  <c r="AV70" i="1"/>
  <c r="AV69" i="1"/>
  <c r="AV68" i="1"/>
  <c r="AV67" i="1"/>
  <c r="AV66" i="1"/>
  <c r="AV65" i="1"/>
  <c r="AV64" i="1"/>
  <c r="AV63" i="1"/>
  <c r="AV62" i="1"/>
  <c r="AV61" i="1"/>
  <c r="AV60" i="1"/>
  <c r="AV59" i="1"/>
  <c r="AV58" i="1"/>
  <c r="AV57" i="1"/>
  <c r="AV56" i="1"/>
  <c r="AV55" i="1"/>
  <c r="AV54" i="1"/>
  <c r="AV53" i="1"/>
  <c r="AV52" i="1"/>
  <c r="AV51" i="1"/>
  <c r="AV50" i="1"/>
  <c r="AV49" i="1"/>
  <c r="AV48" i="1"/>
  <c r="AV47" i="1"/>
  <c r="AV46" i="1"/>
  <c r="AV45" i="1"/>
  <c r="AV44" i="1"/>
  <c r="AV43" i="1"/>
  <c r="AV42" i="1"/>
  <c r="AV41" i="1"/>
  <c r="AV40" i="1"/>
  <c r="AV39" i="1"/>
  <c r="AV38" i="1"/>
  <c r="AV37" i="1"/>
  <c r="AV36" i="1"/>
  <c r="AV35" i="1"/>
  <c r="AV34" i="1"/>
  <c r="AV33" i="1"/>
  <c r="AV32" i="1"/>
  <c r="AV31" i="1"/>
  <c r="AV30" i="1"/>
  <c r="AV29" i="1"/>
  <c r="K26" i="5" s="1"/>
  <c r="AV28" i="1"/>
  <c r="AV27" i="1"/>
  <c r="AV26" i="1"/>
  <c r="AV25" i="1"/>
  <c r="AV24" i="1"/>
  <c r="AV23" i="1"/>
  <c r="AV21" i="1"/>
  <c r="AV20" i="1"/>
  <c r="AV19" i="1"/>
  <c r="AV18" i="1"/>
  <c r="AV17" i="1"/>
  <c r="AV16" i="1"/>
  <c r="AV15" i="1"/>
  <c r="AV14" i="1"/>
  <c r="AV13" i="1"/>
  <c r="AV12" i="1"/>
  <c r="AV11" i="1"/>
  <c r="AV10" i="1"/>
  <c r="AV9" i="1"/>
  <c r="AV8" i="1"/>
  <c r="AV7" i="1"/>
  <c r="AV6" i="1"/>
  <c r="S2" i="5"/>
  <c r="S98" i="5"/>
  <c r="S107" i="5"/>
  <c r="S119" i="5"/>
  <c r="R5" i="5"/>
  <c r="P5" i="5"/>
  <c r="O5" i="5"/>
  <c r="L5" i="5"/>
  <c r="J5" i="5"/>
  <c r="H5" i="5"/>
  <c r="F5" i="5"/>
  <c r="D5" i="5"/>
  <c r="Q25" i="5"/>
  <c r="O25" i="5"/>
  <c r="N25" i="5"/>
  <c r="L25" i="5"/>
  <c r="I25" i="5"/>
  <c r="H25" i="5"/>
  <c r="D25" i="5"/>
  <c r="B25" i="5"/>
  <c r="R26" i="5"/>
  <c r="Q26" i="5"/>
  <c r="P26" i="5"/>
  <c r="O26" i="5"/>
  <c r="N26" i="5"/>
  <c r="M26" i="5"/>
  <c r="L26" i="5"/>
  <c r="J26" i="5"/>
  <c r="H26" i="5"/>
  <c r="G26" i="5"/>
  <c r="F26" i="5"/>
  <c r="E26" i="5"/>
  <c r="D26" i="5"/>
  <c r="C26" i="5"/>
  <c r="B26" i="5"/>
  <c r="Q33" i="5"/>
  <c r="O33" i="5"/>
  <c r="M33" i="5"/>
  <c r="I33" i="5"/>
  <c r="H33" i="5"/>
  <c r="E33" i="5"/>
  <c r="C33" i="5"/>
  <c r="Q39" i="5"/>
  <c r="C39" i="5"/>
  <c r="R41" i="5"/>
  <c r="P41" i="5"/>
  <c r="O41" i="5"/>
  <c r="N41" i="5"/>
  <c r="M41" i="5"/>
  <c r="K41" i="5"/>
  <c r="I41" i="5"/>
  <c r="G41" i="5"/>
  <c r="F41" i="5"/>
  <c r="D41" i="5"/>
  <c r="C41" i="5"/>
  <c r="B41" i="5"/>
  <c r="S43" i="5"/>
  <c r="O43" i="5"/>
  <c r="H43" i="5"/>
  <c r="G43" i="5"/>
  <c r="C43" i="5"/>
  <c r="C48" i="5"/>
  <c r="O49" i="5"/>
  <c r="C49" i="5"/>
  <c r="R57" i="5"/>
  <c r="Q57" i="5"/>
  <c r="P57" i="5"/>
  <c r="N57" i="5"/>
  <c r="L57" i="5"/>
  <c r="K57" i="5"/>
  <c r="J57" i="5"/>
  <c r="I57" i="5"/>
  <c r="H57" i="5"/>
  <c r="G57" i="5"/>
  <c r="F57" i="5"/>
  <c r="E57" i="5"/>
  <c r="D57" i="5"/>
  <c r="B57" i="5"/>
  <c r="S58" i="5"/>
  <c r="R58" i="5"/>
  <c r="Q58" i="5"/>
  <c r="P58" i="5"/>
  <c r="O58" i="5"/>
  <c r="N58" i="5"/>
  <c r="M58" i="5"/>
  <c r="L58" i="5"/>
  <c r="K58" i="5"/>
  <c r="J58" i="5"/>
  <c r="I58" i="5"/>
  <c r="H58" i="5"/>
  <c r="G58" i="5"/>
  <c r="F58" i="5"/>
  <c r="E58" i="5"/>
  <c r="D58" i="5"/>
  <c r="C58" i="5"/>
  <c r="B58" i="5"/>
  <c r="R63" i="5"/>
  <c r="Q63" i="5"/>
  <c r="P63" i="5"/>
  <c r="O63" i="5"/>
  <c r="N63" i="5"/>
  <c r="M63" i="5"/>
  <c r="L63" i="5"/>
  <c r="K63" i="5"/>
  <c r="J63" i="5"/>
  <c r="I63" i="5"/>
  <c r="H63" i="5"/>
  <c r="G63" i="5"/>
  <c r="F63" i="5"/>
  <c r="E63" i="5"/>
  <c r="D63" i="5"/>
  <c r="C63" i="5"/>
  <c r="B63" i="5"/>
  <c r="R71" i="5"/>
  <c r="Q71" i="5"/>
  <c r="P71" i="5"/>
  <c r="O71" i="5"/>
  <c r="N71" i="5"/>
  <c r="M71" i="5"/>
  <c r="L71" i="5"/>
  <c r="K71" i="5"/>
  <c r="J71" i="5"/>
  <c r="I71" i="5"/>
  <c r="H71" i="5"/>
  <c r="G71" i="5"/>
  <c r="F71" i="5"/>
  <c r="E71" i="5"/>
  <c r="D71" i="5"/>
  <c r="C71" i="5"/>
  <c r="B71" i="5"/>
  <c r="S73" i="5"/>
  <c r="R73" i="5"/>
  <c r="Q73" i="5"/>
  <c r="P73" i="5"/>
  <c r="O73" i="5"/>
  <c r="N73" i="5"/>
  <c r="M73" i="5"/>
  <c r="L73" i="5"/>
  <c r="K73" i="5"/>
  <c r="J73" i="5"/>
  <c r="I73" i="5"/>
  <c r="H73" i="5"/>
  <c r="G73" i="5"/>
  <c r="F73" i="5"/>
  <c r="E73" i="5"/>
  <c r="D73" i="5"/>
  <c r="C73" i="5"/>
  <c r="B73" i="5"/>
  <c r="Q74" i="5"/>
  <c r="N74" i="5"/>
  <c r="L74" i="5"/>
  <c r="K74" i="5"/>
  <c r="I74" i="5"/>
  <c r="H74" i="5"/>
  <c r="E74" i="5"/>
  <c r="B74" i="5"/>
  <c r="M80" i="5"/>
  <c r="D80" i="5"/>
  <c r="N81" i="5"/>
  <c r="K81" i="5"/>
  <c r="B81" i="5"/>
  <c r="S87" i="5"/>
  <c r="R87" i="5"/>
  <c r="Q87" i="5"/>
  <c r="P87" i="5"/>
  <c r="O87" i="5"/>
  <c r="N87" i="5"/>
  <c r="M87" i="5"/>
  <c r="L87" i="5"/>
  <c r="J87" i="5"/>
  <c r="I87" i="5"/>
  <c r="H87" i="5"/>
  <c r="G87" i="5"/>
  <c r="F87" i="5"/>
  <c r="E87" i="5"/>
  <c r="D87" i="5"/>
  <c r="C87" i="5"/>
  <c r="B87" i="5"/>
  <c r="Q88" i="5"/>
  <c r="O88" i="5"/>
  <c r="N88" i="5"/>
  <c r="L88" i="5"/>
  <c r="K88" i="5"/>
  <c r="I88" i="5"/>
  <c r="H88" i="5"/>
  <c r="E88" i="5"/>
  <c r="C88" i="5"/>
  <c r="B88" i="5"/>
  <c r="R89" i="5"/>
  <c r="Q89" i="5"/>
  <c r="P89" i="5"/>
  <c r="O89" i="5"/>
  <c r="N89" i="5"/>
  <c r="M89" i="5"/>
  <c r="L89" i="5"/>
  <c r="K89" i="5"/>
  <c r="J89" i="5"/>
  <c r="I89" i="5"/>
  <c r="H89" i="5"/>
  <c r="G89" i="5"/>
  <c r="F89" i="5"/>
  <c r="E89" i="5"/>
  <c r="D89" i="5"/>
  <c r="C89" i="5"/>
  <c r="B89" i="5"/>
  <c r="J98" i="5"/>
  <c r="H98" i="5"/>
  <c r="G98" i="5"/>
  <c r="O99" i="5"/>
  <c r="L99" i="5"/>
  <c r="C99" i="5"/>
  <c r="S105" i="5"/>
  <c r="R105" i="5"/>
  <c r="Q105" i="5"/>
  <c r="P105" i="5"/>
  <c r="O105" i="5"/>
  <c r="N105" i="5"/>
  <c r="M105" i="5"/>
  <c r="L105" i="5"/>
  <c r="J105" i="5"/>
  <c r="I105" i="5"/>
  <c r="H105" i="5"/>
  <c r="G105" i="5"/>
  <c r="F105" i="5"/>
  <c r="E105" i="5"/>
  <c r="D105" i="5"/>
  <c r="C105" i="5"/>
  <c r="B105" i="5"/>
  <c r="R106" i="5"/>
  <c r="P106" i="5"/>
  <c r="O106" i="5"/>
  <c r="M106" i="5"/>
  <c r="L106" i="5"/>
  <c r="J106" i="5"/>
  <c r="I106" i="5"/>
  <c r="F106" i="5"/>
  <c r="D106" i="5"/>
  <c r="C106" i="5"/>
  <c r="R107" i="5"/>
  <c r="Q107" i="5"/>
  <c r="P107" i="5"/>
  <c r="O107" i="5"/>
  <c r="N107" i="5"/>
  <c r="M107" i="5"/>
  <c r="L107" i="5"/>
  <c r="J107" i="5"/>
  <c r="I107" i="5"/>
  <c r="H107" i="5"/>
  <c r="G107" i="5"/>
  <c r="F107" i="5"/>
  <c r="E107" i="5"/>
  <c r="D107" i="5"/>
  <c r="C107" i="5"/>
  <c r="B107" i="5"/>
  <c r="N112" i="5"/>
  <c r="R113" i="5"/>
  <c r="Q113" i="5"/>
  <c r="P113" i="5"/>
  <c r="O113" i="5"/>
  <c r="N113" i="5"/>
  <c r="M113" i="5"/>
  <c r="L113" i="5"/>
  <c r="K113" i="5"/>
  <c r="J113" i="5"/>
  <c r="I113" i="5"/>
  <c r="H113" i="5"/>
  <c r="G113" i="5"/>
  <c r="F113" i="5"/>
  <c r="E113" i="5"/>
  <c r="D113" i="5"/>
  <c r="C113" i="5"/>
  <c r="B113" i="5"/>
  <c r="R119" i="5"/>
  <c r="Q119" i="5"/>
  <c r="O119" i="5"/>
  <c r="N119" i="5"/>
  <c r="K119" i="5"/>
  <c r="I119" i="5"/>
  <c r="H119" i="5"/>
  <c r="G119" i="5"/>
  <c r="F119" i="5"/>
  <c r="E119" i="5"/>
  <c r="C119" i="5"/>
  <c r="B119" i="5"/>
  <c r="H121" i="5"/>
  <c r="S122" i="5"/>
  <c r="R122" i="5"/>
  <c r="Q122" i="5"/>
  <c r="P122" i="5"/>
  <c r="O122" i="5"/>
  <c r="N122" i="5"/>
  <c r="M122" i="5"/>
  <c r="L122" i="5"/>
  <c r="K122" i="5"/>
  <c r="J122" i="5"/>
  <c r="I122" i="5"/>
  <c r="H122" i="5"/>
  <c r="G122" i="5"/>
  <c r="F122" i="5"/>
  <c r="E122" i="5"/>
  <c r="D122" i="5"/>
  <c r="C122" i="5"/>
  <c r="B122" i="5"/>
  <c r="I126" i="5"/>
  <c r="S127" i="5"/>
  <c r="Q127" i="5"/>
  <c r="G127" i="5"/>
  <c r="E127" i="5"/>
  <c r="Q132" i="5"/>
  <c r="O132" i="5"/>
  <c r="N132" i="5"/>
  <c r="M132" i="5"/>
  <c r="L132" i="5"/>
  <c r="K132" i="5"/>
  <c r="I132" i="5"/>
  <c r="H132" i="5"/>
  <c r="E132" i="5"/>
  <c r="C132" i="5"/>
  <c r="B132" i="5"/>
  <c r="G133" i="5"/>
  <c r="R134" i="5"/>
  <c r="Q134" i="5"/>
  <c r="P134" i="5"/>
  <c r="O134" i="5"/>
  <c r="N134" i="5"/>
  <c r="M134" i="5"/>
  <c r="L134" i="5"/>
  <c r="K134" i="5"/>
  <c r="J134" i="5"/>
  <c r="I134" i="5"/>
  <c r="H134" i="5"/>
  <c r="G134" i="5"/>
  <c r="F134" i="5"/>
  <c r="E134" i="5"/>
  <c r="D134" i="5"/>
  <c r="C134" i="5"/>
  <c r="B134" i="5"/>
  <c r="S142" i="5"/>
  <c r="I142" i="5"/>
  <c r="G142" i="5"/>
  <c r="S147" i="5"/>
  <c r="R147" i="5"/>
  <c r="Q147" i="5"/>
  <c r="P147" i="5"/>
  <c r="O147" i="5"/>
  <c r="N147" i="5"/>
  <c r="M147" i="5"/>
  <c r="L147" i="5"/>
  <c r="K147" i="5"/>
  <c r="J147" i="5"/>
  <c r="I147" i="5"/>
  <c r="H147" i="5"/>
  <c r="G147" i="5"/>
  <c r="F147" i="5"/>
  <c r="E147" i="5"/>
  <c r="D147" i="5"/>
  <c r="C147" i="5"/>
  <c r="B147" i="5"/>
  <c r="R148" i="5"/>
  <c r="Q148" i="5"/>
  <c r="P148" i="5"/>
  <c r="O148" i="5"/>
  <c r="N148" i="5"/>
  <c r="M148" i="5"/>
  <c r="L148" i="5"/>
  <c r="K148" i="5"/>
  <c r="J148" i="5"/>
  <c r="I148" i="5"/>
  <c r="H148" i="5"/>
  <c r="G148" i="5"/>
  <c r="F148" i="5"/>
  <c r="E148" i="5"/>
  <c r="D148" i="5"/>
  <c r="C148" i="5"/>
  <c r="B148" i="5"/>
  <c r="O149" i="5"/>
  <c r="C149" i="5"/>
  <c r="L153" i="5"/>
  <c r="J153" i="5"/>
  <c r="I153" i="5"/>
  <c r="R154" i="5"/>
  <c r="H154" i="5"/>
  <c r="F154" i="5"/>
  <c r="I159" i="5"/>
  <c r="P160" i="5"/>
  <c r="O160" i="5"/>
  <c r="N160" i="5"/>
  <c r="M160" i="5"/>
  <c r="L160" i="5"/>
  <c r="K160" i="5"/>
  <c r="J160" i="5"/>
  <c r="I160" i="5"/>
  <c r="H160" i="5"/>
  <c r="G160" i="5"/>
  <c r="F160" i="5"/>
  <c r="E160" i="5"/>
  <c r="D160" i="5"/>
  <c r="C160" i="5"/>
  <c r="B160" i="5"/>
  <c r="P161" i="5"/>
  <c r="O161" i="5"/>
  <c r="N161" i="5"/>
  <c r="M161" i="5"/>
  <c r="L161" i="5"/>
  <c r="K161" i="5"/>
  <c r="J161" i="5"/>
  <c r="I161" i="5"/>
  <c r="H161" i="5"/>
  <c r="G161" i="5"/>
  <c r="F161" i="5"/>
  <c r="E161" i="5"/>
  <c r="D161" i="5"/>
  <c r="C161" i="5"/>
  <c r="B161" i="5"/>
  <c r="I163" i="5"/>
  <c r="F163" i="5"/>
  <c r="P165" i="5"/>
  <c r="O165" i="5"/>
  <c r="N165" i="5"/>
  <c r="M165" i="5"/>
  <c r="L165" i="5"/>
  <c r="K165" i="5"/>
  <c r="J165" i="5"/>
  <c r="I165" i="5"/>
  <c r="H165" i="5"/>
  <c r="G165" i="5"/>
  <c r="F165" i="5"/>
  <c r="E165" i="5"/>
  <c r="D165" i="5"/>
  <c r="C165" i="5"/>
  <c r="B165" i="5"/>
  <c r="P171" i="5"/>
  <c r="O171" i="5"/>
  <c r="N171" i="5"/>
  <c r="M171" i="5"/>
  <c r="L171" i="5"/>
  <c r="J171" i="5"/>
  <c r="I171" i="5"/>
  <c r="H171" i="5"/>
  <c r="G171" i="5"/>
  <c r="F171" i="5"/>
  <c r="E171" i="5"/>
  <c r="D171" i="5"/>
  <c r="C171" i="5"/>
  <c r="B171" i="5"/>
  <c r="P172" i="5"/>
  <c r="O172" i="5"/>
  <c r="N172" i="5"/>
  <c r="M172" i="5"/>
  <c r="L172" i="5"/>
  <c r="K172" i="5"/>
  <c r="J172" i="5"/>
  <c r="I172" i="5"/>
  <c r="H172" i="5"/>
  <c r="G172" i="5"/>
  <c r="F172" i="5"/>
  <c r="E172" i="5"/>
  <c r="D172" i="5"/>
  <c r="C172" i="5"/>
  <c r="B172" i="5"/>
  <c r="P162" i="5"/>
  <c r="O162" i="5"/>
  <c r="N162" i="5"/>
  <c r="M162" i="5"/>
  <c r="L162" i="5"/>
  <c r="K162" i="5"/>
  <c r="J162" i="5"/>
  <c r="I162" i="5"/>
  <c r="H162" i="5"/>
  <c r="G162" i="5"/>
  <c r="F162" i="5"/>
  <c r="E162" i="5"/>
  <c r="D162" i="5"/>
  <c r="C162" i="5"/>
  <c r="B162" i="5"/>
  <c r="R140" i="5"/>
  <c r="Q140" i="5"/>
  <c r="P140" i="5"/>
  <c r="O140" i="5"/>
  <c r="N140" i="5"/>
  <c r="M140" i="5"/>
  <c r="L140" i="5"/>
  <c r="K140" i="5"/>
  <c r="J140" i="5"/>
  <c r="I140" i="5"/>
  <c r="H140" i="5"/>
  <c r="G140" i="5"/>
  <c r="F140" i="5"/>
  <c r="E140" i="5"/>
  <c r="D140" i="5"/>
  <c r="C140" i="5"/>
  <c r="B140" i="5"/>
  <c r="R139" i="5"/>
  <c r="Q139" i="5"/>
  <c r="P139" i="5"/>
  <c r="O139" i="5"/>
  <c r="N139" i="5"/>
  <c r="M139" i="5"/>
  <c r="L139" i="5"/>
  <c r="K139" i="5"/>
  <c r="J139" i="5"/>
  <c r="I139" i="5"/>
  <c r="H139" i="5"/>
  <c r="G139" i="5"/>
  <c r="F139" i="5"/>
  <c r="E139" i="5"/>
  <c r="D139" i="5"/>
  <c r="C139" i="5"/>
  <c r="B139" i="5"/>
  <c r="R137" i="5"/>
  <c r="Q137" i="5"/>
  <c r="P137" i="5"/>
  <c r="O137" i="5"/>
  <c r="N137" i="5"/>
  <c r="M137" i="5"/>
  <c r="L137" i="5"/>
  <c r="K137" i="5"/>
  <c r="J137" i="5"/>
  <c r="I137" i="5"/>
  <c r="H137" i="5"/>
  <c r="G137" i="5"/>
  <c r="F137" i="5"/>
  <c r="E137" i="5"/>
  <c r="D137" i="5"/>
  <c r="C137" i="5"/>
  <c r="B137" i="5"/>
  <c r="R120" i="5"/>
  <c r="Q120" i="5"/>
  <c r="P120" i="5"/>
  <c r="O120" i="5"/>
  <c r="N120" i="5"/>
  <c r="M120" i="5"/>
  <c r="L120" i="5"/>
  <c r="K120" i="5"/>
  <c r="J120" i="5"/>
  <c r="I120" i="5"/>
  <c r="H120" i="5"/>
  <c r="G120" i="5"/>
  <c r="F120" i="5"/>
  <c r="E120" i="5"/>
  <c r="D120" i="5"/>
  <c r="C120" i="5"/>
  <c r="B120" i="5"/>
  <c r="R118" i="5"/>
  <c r="Q118" i="5"/>
  <c r="P118" i="5"/>
  <c r="O118" i="5"/>
  <c r="N118" i="5"/>
  <c r="M118" i="5"/>
  <c r="L118" i="5"/>
  <c r="K118" i="5"/>
  <c r="J118" i="5"/>
  <c r="I118" i="5"/>
  <c r="H118" i="5"/>
  <c r="G118" i="5"/>
  <c r="F118" i="5"/>
  <c r="E118" i="5"/>
  <c r="D118" i="5"/>
  <c r="C118" i="5"/>
  <c r="B118" i="5"/>
  <c r="R111" i="5"/>
  <c r="Q111" i="5"/>
  <c r="P111" i="5"/>
  <c r="O111" i="5"/>
  <c r="N111" i="5"/>
  <c r="M111" i="5"/>
  <c r="L111" i="5"/>
  <c r="K111" i="5"/>
  <c r="J111" i="5"/>
  <c r="I111" i="5"/>
  <c r="H111" i="5"/>
  <c r="G111" i="5"/>
  <c r="F111" i="5"/>
  <c r="E111" i="5"/>
  <c r="D111" i="5"/>
  <c r="C111" i="5"/>
  <c r="B111" i="5"/>
  <c r="R100" i="5"/>
  <c r="Q100" i="5"/>
  <c r="P100" i="5"/>
  <c r="O100" i="5"/>
  <c r="N100" i="5"/>
  <c r="M100" i="5"/>
  <c r="L100" i="5"/>
  <c r="K100" i="5"/>
  <c r="J100" i="5"/>
  <c r="I100" i="5"/>
  <c r="H100" i="5"/>
  <c r="G100" i="5"/>
  <c r="F100" i="5"/>
  <c r="E100" i="5"/>
  <c r="D100" i="5"/>
  <c r="C100" i="5"/>
  <c r="B100" i="5"/>
  <c r="R97" i="5"/>
  <c r="Q97" i="5"/>
  <c r="P97" i="5"/>
  <c r="O97" i="5"/>
  <c r="N97" i="5"/>
  <c r="M97" i="5"/>
  <c r="L97" i="5"/>
  <c r="K97" i="5"/>
  <c r="J97" i="5"/>
  <c r="I97" i="5"/>
  <c r="H97" i="5"/>
  <c r="G97" i="5"/>
  <c r="F97" i="5"/>
  <c r="E97" i="5"/>
  <c r="D97" i="5"/>
  <c r="C97" i="5"/>
  <c r="B97" i="5"/>
  <c r="R95" i="5"/>
  <c r="Q95" i="5"/>
  <c r="P95" i="5"/>
  <c r="O95" i="5"/>
  <c r="N95" i="5"/>
  <c r="M95" i="5"/>
  <c r="L95" i="5"/>
  <c r="K95" i="5"/>
  <c r="J95" i="5"/>
  <c r="I95" i="5"/>
  <c r="H95" i="5"/>
  <c r="G95" i="5"/>
  <c r="F95" i="5"/>
  <c r="E95" i="5"/>
  <c r="D95" i="5"/>
  <c r="C95" i="5"/>
  <c r="B95" i="5"/>
  <c r="R93" i="5"/>
  <c r="Q93" i="5"/>
  <c r="P93" i="5"/>
  <c r="O93" i="5"/>
  <c r="N93" i="5"/>
  <c r="M93" i="5"/>
  <c r="L93" i="5"/>
  <c r="K93" i="5"/>
  <c r="J93" i="5"/>
  <c r="I93" i="5"/>
  <c r="H93" i="5"/>
  <c r="G93" i="5"/>
  <c r="F93" i="5"/>
  <c r="E93" i="5"/>
  <c r="D93" i="5"/>
  <c r="C93" i="5"/>
  <c r="B93" i="5"/>
  <c r="R92" i="5"/>
  <c r="Q92" i="5"/>
  <c r="P92" i="5"/>
  <c r="O92" i="5"/>
  <c r="N92" i="5"/>
  <c r="M92" i="5"/>
  <c r="L92" i="5"/>
  <c r="K92" i="5"/>
  <c r="J92" i="5"/>
  <c r="I92" i="5"/>
  <c r="H92" i="5"/>
  <c r="G92" i="5"/>
  <c r="F92" i="5"/>
  <c r="E92" i="5"/>
  <c r="D92" i="5"/>
  <c r="C92" i="5"/>
  <c r="B92" i="5"/>
  <c r="R91" i="5"/>
  <c r="Q91" i="5"/>
  <c r="P91" i="5"/>
  <c r="O91" i="5"/>
  <c r="N91" i="5"/>
  <c r="M91" i="5"/>
  <c r="L91" i="5"/>
  <c r="K91" i="5"/>
  <c r="J91" i="5"/>
  <c r="I91" i="5"/>
  <c r="H91" i="5"/>
  <c r="G91" i="5"/>
  <c r="F91" i="5"/>
  <c r="E91" i="5"/>
  <c r="D91" i="5"/>
  <c r="C91" i="5"/>
  <c r="B91" i="5"/>
  <c r="R84" i="5"/>
  <c r="Q84" i="5"/>
  <c r="P84" i="5"/>
  <c r="O84" i="5"/>
  <c r="N84" i="5"/>
  <c r="M84" i="5"/>
  <c r="L84" i="5"/>
  <c r="K84" i="5"/>
  <c r="J84" i="5"/>
  <c r="I84" i="5"/>
  <c r="H84" i="5"/>
  <c r="G84" i="5"/>
  <c r="F84" i="5"/>
  <c r="E84" i="5"/>
  <c r="D84" i="5"/>
  <c r="C84" i="5"/>
  <c r="B84" i="5"/>
  <c r="R78" i="5"/>
  <c r="Q78" i="5"/>
  <c r="P78" i="5"/>
  <c r="O78" i="5"/>
  <c r="N78" i="5"/>
  <c r="M78" i="5"/>
  <c r="L78" i="5"/>
  <c r="K78" i="5"/>
  <c r="J78" i="5"/>
  <c r="I78" i="5"/>
  <c r="H78" i="5"/>
  <c r="G78" i="5"/>
  <c r="F78" i="5"/>
  <c r="E78" i="5"/>
  <c r="D78" i="5"/>
  <c r="C78" i="5"/>
  <c r="B78" i="5"/>
  <c r="R77" i="5"/>
  <c r="Q77" i="5"/>
  <c r="P77" i="5"/>
  <c r="O77" i="5"/>
  <c r="N77" i="5"/>
  <c r="M77" i="5"/>
  <c r="L77" i="5"/>
  <c r="K77" i="5"/>
  <c r="J77" i="5"/>
  <c r="I77" i="5"/>
  <c r="H77" i="5"/>
  <c r="G77" i="5"/>
  <c r="F77" i="5"/>
  <c r="E77" i="5"/>
  <c r="D77" i="5"/>
  <c r="C77" i="5"/>
  <c r="B77" i="5"/>
  <c r="R72" i="5"/>
  <c r="Q72" i="5"/>
  <c r="P72" i="5"/>
  <c r="O72" i="5"/>
  <c r="N72" i="5"/>
  <c r="M72" i="5"/>
  <c r="L72" i="5"/>
  <c r="K72" i="5"/>
  <c r="J72" i="5"/>
  <c r="I72" i="5"/>
  <c r="H72" i="5"/>
  <c r="G72" i="5"/>
  <c r="F72" i="5"/>
  <c r="E72" i="5"/>
  <c r="D72" i="5"/>
  <c r="C72" i="5"/>
  <c r="B72" i="5"/>
  <c r="R68" i="5"/>
  <c r="Q68" i="5"/>
  <c r="P68" i="5"/>
  <c r="O68" i="5"/>
  <c r="N68" i="5"/>
  <c r="M68" i="5"/>
  <c r="L68" i="5"/>
  <c r="K68" i="5"/>
  <c r="J68" i="5"/>
  <c r="I68" i="5"/>
  <c r="H68" i="5"/>
  <c r="G68" i="5"/>
  <c r="F68" i="5"/>
  <c r="E68" i="5"/>
  <c r="D68" i="5"/>
  <c r="C68" i="5"/>
  <c r="B68" i="5"/>
  <c r="R67" i="5"/>
  <c r="Q67" i="5"/>
  <c r="P67" i="5"/>
  <c r="O67" i="5"/>
  <c r="N67" i="5"/>
  <c r="M67" i="5"/>
  <c r="L67" i="5"/>
  <c r="K67" i="5"/>
  <c r="J67" i="5"/>
  <c r="I67" i="5"/>
  <c r="H67" i="5"/>
  <c r="G67" i="5"/>
  <c r="F67" i="5"/>
  <c r="E67" i="5"/>
  <c r="D67" i="5"/>
  <c r="C67" i="5"/>
  <c r="B67" i="5"/>
  <c r="R65" i="5"/>
  <c r="Q65" i="5"/>
  <c r="P65" i="5"/>
  <c r="O65" i="5"/>
  <c r="N65" i="5"/>
  <c r="M65" i="5"/>
  <c r="L65" i="5"/>
  <c r="K65" i="5"/>
  <c r="J65" i="5"/>
  <c r="I65" i="5"/>
  <c r="H65" i="5"/>
  <c r="G65" i="5"/>
  <c r="F65" i="5"/>
  <c r="E65" i="5"/>
  <c r="D65" i="5"/>
  <c r="C65" i="5"/>
  <c r="B65" i="5"/>
  <c r="R53" i="5"/>
  <c r="Q53" i="5"/>
  <c r="P53" i="5"/>
  <c r="O53" i="5"/>
  <c r="N53" i="5"/>
  <c r="M53" i="5"/>
  <c r="L53" i="5"/>
  <c r="K53" i="5"/>
  <c r="J53" i="5"/>
  <c r="I53" i="5"/>
  <c r="H53" i="5"/>
  <c r="G53" i="5"/>
  <c r="F53" i="5"/>
  <c r="E53" i="5"/>
  <c r="D53" i="5"/>
  <c r="C53" i="5"/>
  <c r="B53" i="5"/>
  <c r="R51" i="5"/>
  <c r="Q51" i="5"/>
  <c r="P51" i="5"/>
  <c r="O51" i="5"/>
  <c r="N51" i="5"/>
  <c r="M51" i="5"/>
  <c r="L51" i="5"/>
  <c r="K51" i="5"/>
  <c r="J51" i="5"/>
  <c r="I51" i="5"/>
  <c r="H51" i="5"/>
  <c r="G51" i="5"/>
  <c r="F51" i="5"/>
  <c r="E51" i="5"/>
  <c r="D51" i="5"/>
  <c r="C51" i="5"/>
  <c r="B51" i="5"/>
  <c r="R47" i="5"/>
  <c r="Q47" i="5"/>
  <c r="P47" i="5"/>
  <c r="O47" i="5"/>
  <c r="N47" i="5"/>
  <c r="M47" i="5"/>
  <c r="L47" i="5"/>
  <c r="K47" i="5"/>
  <c r="J47" i="5"/>
  <c r="I47" i="5"/>
  <c r="H47" i="5"/>
  <c r="G47" i="5"/>
  <c r="F47" i="5"/>
  <c r="E47" i="5"/>
  <c r="D47" i="5"/>
  <c r="C47" i="5"/>
  <c r="B47" i="5"/>
  <c r="R42" i="5"/>
  <c r="Q42" i="5"/>
  <c r="P42" i="5"/>
  <c r="O42" i="5"/>
  <c r="N42" i="5"/>
  <c r="M42" i="5"/>
  <c r="L42" i="5"/>
  <c r="K42" i="5"/>
  <c r="J42" i="5"/>
  <c r="I42" i="5"/>
  <c r="H42" i="5"/>
  <c r="G42" i="5"/>
  <c r="F42" i="5"/>
  <c r="E42" i="5"/>
  <c r="D42" i="5"/>
  <c r="C42" i="5"/>
  <c r="B42" i="5"/>
  <c r="R40" i="5"/>
  <c r="Q40" i="5"/>
  <c r="P40" i="5"/>
  <c r="O40" i="5"/>
  <c r="N40" i="5"/>
  <c r="M40" i="5"/>
  <c r="L40" i="5"/>
  <c r="K40" i="5"/>
  <c r="J40" i="5"/>
  <c r="I40" i="5"/>
  <c r="H40" i="5"/>
  <c r="G40" i="5"/>
  <c r="F40" i="5"/>
  <c r="E40" i="5"/>
  <c r="D40" i="5"/>
  <c r="C40" i="5"/>
  <c r="B40" i="5"/>
  <c r="R38" i="5"/>
  <c r="Q38" i="5"/>
  <c r="P38" i="5"/>
  <c r="O38" i="5"/>
  <c r="N38" i="5"/>
  <c r="M38" i="5"/>
  <c r="L38" i="5"/>
  <c r="K38" i="5"/>
  <c r="J38" i="5"/>
  <c r="I38" i="5"/>
  <c r="H38" i="5"/>
  <c r="G38" i="5"/>
  <c r="F38" i="5"/>
  <c r="E38" i="5"/>
  <c r="D38" i="5"/>
  <c r="C38" i="5"/>
  <c r="B38" i="5"/>
  <c r="R32" i="5"/>
  <c r="Q32" i="5"/>
  <c r="P32" i="5"/>
  <c r="O32" i="5"/>
  <c r="N32" i="5"/>
  <c r="M32" i="5"/>
  <c r="L32" i="5"/>
  <c r="K32" i="5"/>
  <c r="J32" i="5"/>
  <c r="I32" i="5"/>
  <c r="H32" i="5"/>
  <c r="G32" i="5"/>
  <c r="F32" i="5"/>
  <c r="E32" i="5"/>
  <c r="D32" i="5"/>
  <c r="C32" i="5"/>
  <c r="B32" i="5"/>
  <c r="R31" i="5"/>
  <c r="Q31" i="5"/>
  <c r="P31" i="5"/>
  <c r="O31" i="5"/>
  <c r="N31" i="5"/>
  <c r="M31" i="5"/>
  <c r="L31" i="5"/>
  <c r="K31" i="5"/>
  <c r="J31" i="5"/>
  <c r="I31" i="5"/>
  <c r="H31" i="5"/>
  <c r="G31" i="5"/>
  <c r="F31" i="5"/>
  <c r="E31" i="5"/>
  <c r="D31" i="5"/>
  <c r="C31" i="5"/>
  <c r="B31" i="5"/>
  <c r="R21" i="5"/>
  <c r="Q21" i="5"/>
  <c r="P21" i="5"/>
  <c r="O21" i="5"/>
  <c r="N21" i="5"/>
  <c r="M21" i="5"/>
  <c r="L21" i="5"/>
  <c r="K21" i="5"/>
  <c r="J21" i="5"/>
  <c r="I21" i="5"/>
  <c r="H21" i="5"/>
  <c r="G21" i="5"/>
  <c r="F21" i="5"/>
  <c r="E21" i="5"/>
  <c r="D21" i="5"/>
  <c r="C21" i="5"/>
  <c r="B21" i="5"/>
  <c r="R18" i="5"/>
  <c r="Q18" i="5"/>
  <c r="P18" i="5"/>
  <c r="O18" i="5"/>
  <c r="N18" i="5"/>
  <c r="M18" i="5"/>
  <c r="L18" i="5"/>
  <c r="K18" i="5"/>
  <c r="J18" i="5"/>
  <c r="I18" i="5"/>
  <c r="H18" i="5"/>
  <c r="G18" i="5"/>
  <c r="F18" i="5"/>
  <c r="E18" i="5"/>
  <c r="D18" i="5"/>
  <c r="C18" i="5"/>
  <c r="B18" i="5"/>
  <c r="R16" i="5"/>
  <c r="Q16" i="5"/>
  <c r="P16" i="5"/>
  <c r="O16" i="5"/>
  <c r="N16" i="5"/>
  <c r="M16" i="5"/>
  <c r="L16" i="5"/>
  <c r="K16" i="5"/>
  <c r="J16" i="5"/>
  <c r="I16" i="5"/>
  <c r="H16" i="5"/>
  <c r="G16" i="5"/>
  <c r="F16" i="5"/>
  <c r="E16" i="5"/>
  <c r="D16" i="5"/>
  <c r="C16" i="5"/>
  <c r="B16" i="5"/>
  <c r="R15" i="5"/>
  <c r="Q15" i="5"/>
  <c r="P15" i="5"/>
  <c r="O15" i="5"/>
  <c r="N15" i="5"/>
  <c r="M15" i="5"/>
  <c r="L15" i="5"/>
  <c r="K15" i="5"/>
  <c r="J15" i="5"/>
  <c r="I15" i="5"/>
  <c r="H15" i="5"/>
  <c r="G15" i="5"/>
  <c r="F15" i="5"/>
  <c r="E15" i="5"/>
  <c r="D15" i="5"/>
  <c r="C15" i="5"/>
  <c r="B15" i="5"/>
  <c r="R14" i="5"/>
  <c r="Q14" i="5"/>
  <c r="P14" i="5"/>
  <c r="O14" i="5"/>
  <c r="N14" i="5"/>
  <c r="M14" i="5"/>
  <c r="L14" i="5"/>
  <c r="K14" i="5"/>
  <c r="J14" i="5"/>
  <c r="I14" i="5"/>
  <c r="H14" i="5"/>
  <c r="G14" i="5"/>
  <c r="F14" i="5"/>
  <c r="E14" i="5"/>
  <c r="D14" i="5"/>
  <c r="C14" i="5"/>
  <c r="B14" i="5"/>
  <c r="R13" i="5"/>
  <c r="Q13" i="5"/>
  <c r="P13" i="5"/>
  <c r="O13" i="5"/>
  <c r="N13" i="5"/>
  <c r="M13" i="5"/>
  <c r="L13" i="5"/>
  <c r="K13" i="5"/>
  <c r="J13" i="5"/>
  <c r="I13" i="5"/>
  <c r="H13" i="5"/>
  <c r="G13" i="5"/>
  <c r="F13" i="5"/>
  <c r="E13" i="5"/>
  <c r="D13" i="5"/>
  <c r="C13" i="5"/>
  <c r="B13" i="5"/>
  <c r="R11" i="5"/>
  <c r="Q11" i="5"/>
  <c r="P11" i="5"/>
  <c r="O11" i="5"/>
  <c r="N11" i="5"/>
  <c r="M11" i="5"/>
  <c r="L11" i="5"/>
  <c r="K11" i="5"/>
  <c r="J11" i="5"/>
  <c r="I11" i="5"/>
  <c r="H11" i="5"/>
  <c r="G11" i="5"/>
  <c r="F11" i="5"/>
  <c r="E11" i="5"/>
  <c r="D11" i="5"/>
  <c r="C11" i="5"/>
  <c r="B11" i="5"/>
  <c r="R10" i="5"/>
  <c r="Q10" i="5"/>
  <c r="P10" i="5"/>
  <c r="O10" i="5"/>
  <c r="N10" i="5"/>
  <c r="M10" i="5"/>
  <c r="L10" i="5"/>
  <c r="K10" i="5"/>
  <c r="J10" i="5"/>
  <c r="I10" i="5"/>
  <c r="H10" i="5"/>
  <c r="G10" i="5"/>
  <c r="F10" i="5"/>
  <c r="E10" i="5"/>
  <c r="D10" i="5"/>
  <c r="C10" i="5"/>
  <c r="B10" i="5"/>
  <c r="R9" i="5"/>
  <c r="Q9" i="5"/>
  <c r="P9" i="5"/>
  <c r="O9" i="5"/>
  <c r="N9" i="5"/>
  <c r="M9" i="5"/>
  <c r="L9" i="5"/>
  <c r="K9" i="5"/>
  <c r="J9" i="5"/>
  <c r="I9" i="5"/>
  <c r="H9" i="5"/>
  <c r="G9" i="5"/>
  <c r="F9" i="5"/>
  <c r="E9" i="5"/>
  <c r="D9" i="5"/>
  <c r="C9" i="5"/>
  <c r="B9" i="5"/>
  <c r="R4" i="5"/>
  <c r="Q4" i="5"/>
  <c r="P4" i="5"/>
  <c r="O4" i="5"/>
  <c r="N4" i="5"/>
  <c r="M4" i="5"/>
  <c r="L4" i="5"/>
  <c r="K4" i="5"/>
  <c r="J4" i="5"/>
  <c r="I4" i="5"/>
  <c r="H4" i="5"/>
  <c r="G4" i="5"/>
  <c r="F4" i="5"/>
  <c r="E4" i="5"/>
  <c r="D4" i="5"/>
  <c r="C4" i="5"/>
  <c r="B4" i="5"/>
  <c r="R3" i="5"/>
  <c r="Q3" i="5"/>
  <c r="P3" i="5"/>
  <c r="O3" i="5"/>
  <c r="N3" i="5"/>
  <c r="M3" i="5"/>
  <c r="L3" i="5"/>
  <c r="K3" i="5"/>
  <c r="J3" i="5"/>
  <c r="I3" i="5"/>
  <c r="H3" i="5"/>
  <c r="G3" i="5"/>
  <c r="F3" i="5"/>
  <c r="E3" i="5"/>
  <c r="D3" i="5"/>
  <c r="C3" i="5"/>
  <c r="B3" i="5"/>
  <c r="Q7" i="5"/>
  <c r="Q28" i="5"/>
  <c r="Q45" i="5"/>
  <c r="Q60" i="5"/>
  <c r="Q76" i="5"/>
  <c r="R98" i="5"/>
  <c r="Q124" i="5"/>
  <c r="Q136" i="5"/>
  <c r="K153" i="5"/>
  <c r="I98" i="5"/>
  <c r="B48" i="5"/>
  <c r="B12" i="5"/>
  <c r="N12" i="5"/>
  <c r="F7" i="5"/>
  <c r="M153" i="5"/>
  <c r="L126" i="5"/>
  <c r="K98" i="5"/>
  <c r="E80" i="5"/>
  <c r="Q80" i="5"/>
  <c r="D12" i="5"/>
  <c r="P12" i="5"/>
  <c r="B153" i="5"/>
  <c r="N153" i="5"/>
  <c r="F151" i="5"/>
  <c r="G141" i="5"/>
  <c r="L98" i="5"/>
  <c r="Q48" i="5"/>
  <c r="E12" i="5"/>
  <c r="Q12" i="5"/>
  <c r="C153" i="5"/>
  <c r="O153" i="5"/>
  <c r="M98" i="5"/>
  <c r="R48" i="5"/>
  <c r="F12" i="5"/>
  <c r="R12" i="5"/>
  <c r="B98" i="5"/>
  <c r="N98" i="5"/>
  <c r="H80" i="5"/>
  <c r="F60" i="5"/>
  <c r="S48" i="5"/>
  <c r="G12" i="5"/>
  <c r="S12" i="5"/>
  <c r="D153" i="5"/>
  <c r="P153" i="5"/>
  <c r="E153" i="5"/>
  <c r="Q153" i="5"/>
  <c r="J141" i="5"/>
  <c r="J112" i="5"/>
  <c r="C98" i="5"/>
  <c r="O98" i="5"/>
  <c r="I80" i="5"/>
  <c r="H12" i="5"/>
  <c r="Q126" i="5"/>
  <c r="D98" i="5"/>
  <c r="P98" i="5"/>
  <c r="I12" i="5"/>
  <c r="F153" i="5"/>
  <c r="R153" i="5"/>
  <c r="G153" i="5"/>
  <c r="S153" i="5"/>
  <c r="F126" i="5"/>
  <c r="E98" i="5"/>
  <c r="Q98" i="5"/>
  <c r="J12" i="5"/>
  <c r="F98" i="5"/>
  <c r="E30" i="5"/>
  <c r="K12" i="5"/>
  <c r="R151" i="5"/>
  <c r="R60" i="5"/>
  <c r="R7" i="5"/>
  <c r="F124" i="5"/>
  <c r="F76" i="5"/>
  <c r="F28" i="5"/>
  <c r="R124" i="5"/>
  <c r="R76" i="5"/>
  <c r="R28" i="5"/>
  <c r="F136" i="5"/>
  <c r="F45" i="5"/>
  <c r="R136" i="5"/>
  <c r="R45" i="5"/>
  <c r="G151" i="5"/>
  <c r="G136" i="5"/>
  <c r="S136" i="5"/>
  <c r="G124" i="5"/>
  <c r="S124" i="5"/>
  <c r="G76" i="5"/>
  <c r="S76" i="5"/>
  <c r="G60" i="5"/>
  <c r="G45" i="5"/>
  <c r="S45" i="5"/>
  <c r="G28" i="5"/>
  <c r="S28" i="5"/>
  <c r="G7" i="5"/>
  <c r="S7" i="5"/>
  <c r="H151" i="5"/>
  <c r="H136" i="5"/>
  <c r="H124" i="5"/>
  <c r="H76" i="5"/>
  <c r="H60" i="5"/>
  <c r="H45" i="5"/>
  <c r="H28" i="5"/>
  <c r="H7" i="5"/>
  <c r="I136" i="5"/>
  <c r="I124" i="5"/>
  <c r="I76" i="5"/>
  <c r="I60" i="5"/>
  <c r="I45" i="5"/>
  <c r="I28" i="5"/>
  <c r="I7" i="5"/>
  <c r="I151" i="5"/>
  <c r="J151" i="5"/>
  <c r="J136" i="5"/>
  <c r="J124" i="5"/>
  <c r="J76" i="5"/>
  <c r="J60" i="5"/>
  <c r="J45" i="5"/>
  <c r="J28" i="5"/>
  <c r="J7" i="5"/>
  <c r="K151" i="5"/>
  <c r="K136" i="5"/>
  <c r="K124" i="5"/>
  <c r="K76" i="5"/>
  <c r="K60" i="5"/>
  <c r="K45" i="5"/>
  <c r="K28" i="5"/>
  <c r="K7" i="5"/>
  <c r="L151" i="5"/>
  <c r="L136" i="5"/>
  <c r="L124" i="5"/>
  <c r="L76" i="5"/>
  <c r="L60" i="5"/>
  <c r="L45" i="5"/>
  <c r="L28" i="5"/>
  <c r="L7" i="5"/>
  <c r="M136" i="5"/>
  <c r="M124" i="5"/>
  <c r="M76" i="5"/>
  <c r="M60" i="5"/>
  <c r="M45" i="5"/>
  <c r="M28" i="5"/>
  <c r="M7" i="5"/>
  <c r="B136" i="5"/>
  <c r="N136" i="5"/>
  <c r="B124" i="5"/>
  <c r="N124" i="5"/>
  <c r="B109" i="5"/>
  <c r="B76" i="5"/>
  <c r="N76" i="5"/>
  <c r="B60" i="5"/>
  <c r="N60" i="5"/>
  <c r="B45" i="5"/>
  <c r="N45" i="5"/>
  <c r="B28" i="5"/>
  <c r="N28" i="5"/>
  <c r="B7" i="5"/>
  <c r="N7" i="5"/>
  <c r="M151" i="5"/>
  <c r="C151" i="5"/>
  <c r="O151" i="5"/>
  <c r="C136" i="5"/>
  <c r="O136" i="5"/>
  <c r="C124" i="5"/>
  <c r="O124" i="5"/>
  <c r="C76" i="5"/>
  <c r="O76" i="5"/>
  <c r="C60" i="5"/>
  <c r="O60" i="5"/>
  <c r="C45" i="5"/>
  <c r="O45" i="5"/>
  <c r="C28" i="5"/>
  <c r="O28" i="5"/>
  <c r="C7" i="5"/>
  <c r="O7" i="5"/>
  <c r="B151" i="5"/>
  <c r="N151" i="5"/>
  <c r="D151" i="5"/>
  <c r="P151" i="5"/>
  <c r="D136" i="5"/>
  <c r="P136" i="5"/>
  <c r="D124" i="5"/>
  <c r="P124" i="5"/>
  <c r="D76" i="5"/>
  <c r="P76" i="5"/>
  <c r="D60" i="5"/>
  <c r="P60" i="5"/>
  <c r="D45" i="5"/>
  <c r="P45" i="5"/>
  <c r="D28" i="5"/>
  <c r="P28" i="5"/>
  <c r="D7" i="5"/>
  <c r="P7" i="5"/>
  <c r="E151" i="5"/>
  <c r="E136" i="5"/>
  <c r="E124" i="5"/>
  <c r="E76" i="5"/>
  <c r="E60" i="5"/>
  <c r="E45" i="5"/>
  <c r="E28" i="5"/>
  <c r="E7" i="5"/>
  <c r="S140" i="5"/>
  <c r="S139" i="5"/>
  <c r="S137" i="5"/>
  <c r="S120" i="5"/>
  <c r="S118" i="5"/>
  <c r="S111" i="5"/>
  <c r="S100" i="5"/>
  <c r="S97" i="5"/>
  <c r="S95" i="5"/>
  <c r="S93" i="5"/>
  <c r="S92" i="5"/>
  <c r="S91" i="5"/>
  <c r="S84" i="5"/>
  <c r="S78" i="5"/>
  <c r="S77" i="5"/>
  <c r="S72" i="5"/>
  <c r="S68" i="5"/>
  <c r="S67" i="5"/>
  <c r="S65" i="5"/>
  <c r="S53" i="5"/>
  <c r="S51" i="5"/>
  <c r="S47" i="5"/>
  <c r="S42" i="5"/>
  <c r="S40" i="5"/>
  <c r="S38" i="5"/>
  <c r="S32" i="5"/>
  <c r="S31" i="5"/>
  <c r="S21" i="5"/>
  <c r="S18" i="5"/>
  <c r="S16" i="5"/>
  <c r="S15" i="5"/>
  <c r="S14" i="5"/>
  <c r="S13" i="5"/>
  <c r="S11" i="5"/>
  <c r="S10" i="5"/>
  <c r="S9" i="5"/>
  <c r="S4" i="5"/>
  <c r="S3" i="5"/>
  <c r="S49" i="5"/>
  <c r="S88" i="5"/>
  <c r="R126" i="5"/>
  <c r="O112" i="5"/>
  <c r="M99" i="5"/>
  <c r="L81" i="5"/>
  <c r="F74" i="5"/>
  <c r="R74" i="5"/>
  <c r="L48" i="5"/>
  <c r="N94" i="5"/>
  <c r="M109" i="5"/>
  <c r="L141" i="5"/>
  <c r="P126" i="5"/>
  <c r="G48" i="5"/>
  <c r="F48" i="5"/>
  <c r="R112" i="5"/>
  <c r="G163" i="5"/>
  <c r="J159" i="5"/>
  <c r="D149" i="5"/>
  <c r="P149" i="5"/>
  <c r="N109" i="5"/>
  <c r="H109" i="5"/>
  <c r="G126" i="5"/>
  <c r="K112" i="5"/>
  <c r="D126" i="5"/>
  <c r="K30" i="5"/>
  <c r="F112" i="5"/>
  <c r="H163" i="5"/>
  <c r="K159" i="5"/>
  <c r="E149" i="5"/>
  <c r="Q149" i="5"/>
  <c r="J132" i="5"/>
  <c r="H126" i="5"/>
  <c r="D119" i="5"/>
  <c r="P119" i="5"/>
  <c r="Q112" i="5"/>
  <c r="K106" i="5"/>
  <c r="B99" i="5"/>
  <c r="N99" i="5"/>
  <c r="J88" i="5"/>
  <c r="M81" i="5"/>
  <c r="G74" i="5"/>
  <c r="S74" i="5"/>
  <c r="M48" i="5"/>
  <c r="B17" i="5"/>
  <c r="E5" i="5"/>
  <c r="Q5" i="5"/>
  <c r="M112" i="5"/>
  <c r="E109" i="5"/>
  <c r="P30" i="5"/>
  <c r="K141" i="5"/>
  <c r="E126" i="5"/>
  <c r="E48" i="5"/>
  <c r="R141" i="5"/>
  <c r="P112" i="5"/>
  <c r="J163" i="5"/>
  <c r="M159" i="5"/>
  <c r="G149" i="5"/>
  <c r="S149" i="5"/>
  <c r="B141" i="5"/>
  <c r="K126" i="5"/>
  <c r="D99" i="5"/>
  <c r="P99" i="5"/>
  <c r="C81" i="5"/>
  <c r="O81" i="5"/>
  <c r="S24" i="5"/>
  <c r="P17" i="5"/>
  <c r="G5" i="5"/>
  <c r="S5" i="5"/>
  <c r="O109" i="5"/>
  <c r="R94" i="5"/>
  <c r="D30" i="5"/>
  <c r="H112" i="5"/>
  <c r="F141" i="5"/>
  <c r="D112" i="5"/>
  <c r="R30" i="5"/>
  <c r="K163" i="5"/>
  <c r="B159" i="5"/>
  <c r="N159" i="5"/>
  <c r="H149" i="5"/>
  <c r="C141" i="5"/>
  <c r="B106" i="5"/>
  <c r="N106" i="5"/>
  <c r="E99" i="5"/>
  <c r="Q99" i="5"/>
  <c r="M88" i="5"/>
  <c r="D81" i="5"/>
  <c r="P81" i="5"/>
  <c r="J74" i="5"/>
  <c r="E17" i="5"/>
  <c r="Q17" i="5"/>
  <c r="C17" i="5"/>
  <c r="J109" i="5"/>
  <c r="S94" i="5"/>
  <c r="L163" i="5"/>
  <c r="C159" i="5"/>
  <c r="O159" i="5"/>
  <c r="I149" i="5"/>
  <c r="E141" i="5"/>
  <c r="F99" i="5"/>
  <c r="R99" i="5"/>
  <c r="E81" i="5"/>
  <c r="Q81" i="5"/>
  <c r="R17" i="5"/>
  <c r="G99" i="5"/>
  <c r="F81" i="5"/>
  <c r="R81" i="5"/>
  <c r="G17" i="5"/>
  <c r="S17" i="5"/>
  <c r="R149" i="5"/>
  <c r="O48" i="5"/>
  <c r="O17" i="5"/>
  <c r="C109" i="5"/>
  <c r="I141" i="5"/>
  <c r="J30" i="5"/>
  <c r="K109" i="5"/>
  <c r="B30" i="5"/>
  <c r="O126" i="5"/>
  <c r="B126" i="5"/>
  <c r="P141" i="5"/>
  <c r="M163" i="5"/>
  <c r="D159" i="5"/>
  <c r="P159" i="5"/>
  <c r="J149" i="5"/>
  <c r="N141" i="5"/>
  <c r="G109" i="5"/>
  <c r="O30" i="5"/>
  <c r="H48" i="5"/>
  <c r="C126" i="5"/>
  <c r="H141" i="5"/>
  <c r="S112" i="5"/>
  <c r="D48" i="5"/>
  <c r="D141" i="5"/>
  <c r="S126" i="5"/>
  <c r="B163" i="5"/>
  <c r="N163" i="5"/>
  <c r="E159" i="5"/>
  <c r="K149" i="5"/>
  <c r="O141" i="5"/>
  <c r="D132" i="5"/>
  <c r="P132" i="5"/>
  <c r="J119" i="5"/>
  <c r="E106" i="5"/>
  <c r="Q106" i="5"/>
  <c r="H99" i="5"/>
  <c r="D88" i="5"/>
  <c r="P88" i="5"/>
  <c r="G81" i="5"/>
  <c r="S81" i="5"/>
  <c r="M74" i="5"/>
  <c r="G30" i="5"/>
  <c r="H17" i="5"/>
  <c r="K5" i="5"/>
  <c r="B112" i="5"/>
  <c r="I99" i="5"/>
  <c r="H81" i="5"/>
  <c r="I30" i="5"/>
  <c r="L159" i="5"/>
  <c r="I109" i="5"/>
  <c r="J48" i="5"/>
  <c r="N30" i="5"/>
  <c r="N126" i="5"/>
  <c r="J126" i="5"/>
  <c r="S109" i="5"/>
  <c r="R109" i="5"/>
  <c r="P48" i="5"/>
  <c r="C30" i="5"/>
  <c r="G112" i="5"/>
  <c r="K62" i="5"/>
  <c r="C163" i="5"/>
  <c r="O163" i="5"/>
  <c r="F159" i="5"/>
  <c r="L149" i="5"/>
  <c r="Q141" i="5"/>
  <c r="L112" i="5"/>
  <c r="I48" i="5"/>
  <c r="M126" i="5"/>
  <c r="H30" i="5"/>
  <c r="F109" i="5"/>
  <c r="Q109" i="5"/>
  <c r="D163" i="5"/>
  <c r="P163" i="5"/>
  <c r="G159" i="5"/>
  <c r="M149" i="5"/>
  <c r="F132" i="5"/>
  <c r="R132" i="5"/>
  <c r="L119" i="5"/>
  <c r="C112" i="5"/>
  <c r="G106" i="5"/>
  <c r="S106" i="5"/>
  <c r="J99" i="5"/>
  <c r="F88" i="5"/>
  <c r="R88" i="5"/>
  <c r="I81" i="5"/>
  <c r="C74" i="5"/>
  <c r="O74" i="5"/>
  <c r="M5" i="5"/>
  <c r="F149" i="5"/>
  <c r="P109" i="5"/>
  <c r="I112" i="5"/>
  <c r="D109" i="5"/>
  <c r="F30" i="5"/>
  <c r="Q30" i="5"/>
  <c r="M30" i="5"/>
  <c r="S141" i="5"/>
  <c r="N48" i="5"/>
  <c r="B149" i="5"/>
  <c r="G132" i="5"/>
  <c r="G88" i="5"/>
  <c r="D74" i="5"/>
  <c r="B5" i="5"/>
  <c r="C94" i="5"/>
  <c r="F94" i="5"/>
  <c r="E62" i="5"/>
  <c r="I62" i="5"/>
  <c r="L133" i="5"/>
  <c r="M121" i="5"/>
  <c r="H62" i="5"/>
  <c r="H49" i="5"/>
  <c r="M166" i="5"/>
  <c r="L62" i="5"/>
  <c r="K166" i="5"/>
  <c r="Q94" i="5"/>
  <c r="M133" i="5"/>
  <c r="B121" i="5"/>
  <c r="N121" i="5"/>
  <c r="J62" i="5"/>
  <c r="I49" i="5"/>
  <c r="H94" i="5"/>
  <c r="B133" i="5"/>
  <c r="N133" i="5"/>
  <c r="C121" i="5"/>
  <c r="O121" i="5"/>
  <c r="J49" i="5"/>
  <c r="D62" i="5"/>
  <c r="C133" i="5"/>
  <c r="O133" i="5"/>
  <c r="D121" i="5"/>
  <c r="P121" i="5"/>
  <c r="K49" i="5"/>
  <c r="K94" i="5"/>
  <c r="J94" i="5"/>
  <c r="F62" i="5"/>
  <c r="R62" i="5"/>
  <c r="D133" i="5"/>
  <c r="P133" i="5"/>
  <c r="E121" i="5"/>
  <c r="Q121" i="5"/>
  <c r="L49" i="5"/>
  <c r="E94" i="5"/>
  <c r="L94" i="5"/>
  <c r="I94" i="5"/>
  <c r="J166" i="5"/>
  <c r="E133" i="5"/>
  <c r="Q133" i="5"/>
  <c r="F121" i="5"/>
  <c r="R121" i="5"/>
  <c r="M49" i="5"/>
  <c r="F133" i="5"/>
  <c r="R133" i="5"/>
  <c r="G121" i="5"/>
  <c r="S121" i="5"/>
  <c r="B49" i="5"/>
  <c r="N49" i="5"/>
  <c r="P94" i="5"/>
  <c r="B94" i="5"/>
  <c r="M94" i="5"/>
  <c r="G94" i="5"/>
  <c r="N62" i="5"/>
  <c r="H133" i="5"/>
  <c r="I121" i="5"/>
  <c r="D49" i="5"/>
  <c r="P49" i="5"/>
  <c r="D94" i="5"/>
  <c r="P62" i="5"/>
  <c r="O62" i="5"/>
  <c r="B62" i="5"/>
  <c r="M62" i="5"/>
  <c r="I133" i="5"/>
  <c r="J121" i="5"/>
  <c r="E49" i="5"/>
  <c r="Q49" i="5"/>
  <c r="J133" i="5"/>
  <c r="K121" i="5"/>
  <c r="F49" i="5"/>
  <c r="R49" i="5"/>
  <c r="C62" i="5"/>
  <c r="Q62" i="5"/>
  <c r="G49" i="5"/>
  <c r="S30" i="5"/>
  <c r="S60" i="5"/>
  <c r="S62" i="5"/>
  <c r="S89" i="5"/>
  <c r="S99" i="5"/>
  <c r="S113" i="5"/>
  <c r="S132" i="5"/>
  <c r="S133" i="5"/>
  <c r="S134" i="5"/>
  <c r="S151" i="5"/>
  <c r="B82" i="5" l="1"/>
  <c r="J117" i="5"/>
  <c r="M55" i="5"/>
  <c r="F37" i="5"/>
  <c r="L146" i="5"/>
  <c r="S146" i="5"/>
  <c r="L117" i="5"/>
  <c r="N55" i="5"/>
  <c r="G37" i="5"/>
  <c r="M146" i="5"/>
  <c r="H146" i="5"/>
  <c r="C158" i="5"/>
  <c r="E104" i="5"/>
  <c r="D158" i="5"/>
  <c r="O104" i="5"/>
  <c r="P158" i="5"/>
  <c r="B170" i="5"/>
  <c r="I70" i="5"/>
  <c r="D23" i="5"/>
  <c r="F146" i="5"/>
  <c r="G131" i="5"/>
  <c r="P170" i="5"/>
  <c r="H131" i="5"/>
  <c r="S131" i="5"/>
  <c r="B55" i="5"/>
  <c r="E115" i="5"/>
  <c r="L156" i="5"/>
  <c r="I115" i="5"/>
  <c r="J115" i="5"/>
  <c r="H35" i="5"/>
  <c r="R144" i="5"/>
  <c r="E156" i="5"/>
  <c r="N35" i="5"/>
  <c r="P144" i="5"/>
  <c r="S156" i="5"/>
  <c r="B168" i="5"/>
  <c r="D115" i="5"/>
  <c r="C168" i="5"/>
  <c r="H20" i="5"/>
  <c r="D156" i="5"/>
  <c r="N168" i="5"/>
  <c r="M129" i="5"/>
  <c r="N115" i="5"/>
  <c r="O168" i="5"/>
  <c r="B115" i="5"/>
  <c r="H41" i="5"/>
  <c r="P25" i="5"/>
  <c r="M57" i="5"/>
  <c r="J41" i="5"/>
  <c r="R37" i="5"/>
  <c r="C25" i="5"/>
  <c r="R25" i="5"/>
  <c r="E145" i="5"/>
  <c r="C57" i="5"/>
  <c r="O57" i="5"/>
  <c r="L41" i="5"/>
  <c r="F25" i="5"/>
  <c r="L17" i="5"/>
  <c r="J25" i="5"/>
  <c r="M25" i="5"/>
  <c r="B8" i="5"/>
  <c r="F61" i="5"/>
  <c r="H61" i="5"/>
  <c r="E138" i="5"/>
  <c r="R61" i="5"/>
  <c r="G138" i="5"/>
  <c r="H110" i="5"/>
  <c r="P79" i="5"/>
  <c r="Q138" i="5"/>
  <c r="J110" i="5"/>
  <c r="Q79" i="5"/>
  <c r="S138" i="5"/>
  <c r="F79" i="5"/>
  <c r="H125" i="5"/>
  <c r="G46" i="5"/>
  <c r="J125" i="5"/>
  <c r="J46" i="5"/>
  <c r="L103" i="5"/>
  <c r="C85" i="5"/>
  <c r="P116" i="5"/>
  <c r="O85" i="5"/>
  <c r="Q145" i="5"/>
  <c r="M157" i="5"/>
  <c r="L69" i="5"/>
  <c r="S157" i="5"/>
  <c r="N169" i="5"/>
  <c r="M130" i="5"/>
  <c r="C27" i="5"/>
  <c r="R79" i="5"/>
  <c r="E79" i="5"/>
  <c r="D79" i="5"/>
  <c r="H8" i="5"/>
  <c r="C135" i="5"/>
  <c r="E150" i="5"/>
  <c r="F138" i="5"/>
  <c r="R138" i="5"/>
  <c r="I125" i="5"/>
  <c r="I110" i="5"/>
  <c r="G61" i="5"/>
  <c r="J59" i="5"/>
  <c r="H46" i="5"/>
  <c r="K79" i="5"/>
  <c r="H138" i="5"/>
  <c r="K125" i="5"/>
  <c r="K110" i="5"/>
  <c r="G75" i="5"/>
  <c r="I61" i="5"/>
  <c r="L46" i="5"/>
  <c r="K8" i="5"/>
  <c r="R59" i="5"/>
  <c r="I138" i="5"/>
  <c r="L125" i="5"/>
  <c r="L110" i="5"/>
  <c r="B96" i="5"/>
  <c r="S75" i="5"/>
  <c r="J61" i="5"/>
  <c r="M46" i="5"/>
  <c r="S61" i="5"/>
  <c r="S123" i="5"/>
  <c r="S8" i="5"/>
  <c r="Q8" i="5"/>
  <c r="J138" i="5"/>
  <c r="M125" i="5"/>
  <c r="M110" i="5"/>
  <c r="F96" i="5"/>
  <c r="K61" i="5"/>
  <c r="N46" i="5"/>
  <c r="C8" i="5"/>
  <c r="K138" i="5"/>
  <c r="B125" i="5"/>
  <c r="N125" i="5"/>
  <c r="B110" i="5"/>
  <c r="N110" i="5"/>
  <c r="G96" i="5"/>
  <c r="L61" i="5"/>
  <c r="O46" i="5"/>
  <c r="F8" i="5"/>
  <c r="M79" i="5"/>
  <c r="G8" i="5"/>
  <c r="E8" i="5"/>
  <c r="P123" i="5"/>
  <c r="I79" i="5"/>
  <c r="G79" i="5"/>
  <c r="N79" i="5"/>
  <c r="B152" i="5"/>
  <c r="S27" i="5"/>
  <c r="I59" i="5"/>
  <c r="L138" i="5"/>
  <c r="C125" i="5"/>
  <c r="O125" i="5"/>
  <c r="C110" i="5"/>
  <c r="O110" i="5"/>
  <c r="N96" i="5"/>
  <c r="M61" i="5"/>
  <c r="B46" i="5"/>
  <c r="P46" i="5"/>
  <c r="H29" i="5"/>
  <c r="L8" i="5"/>
  <c r="M138" i="5"/>
  <c r="D125" i="5"/>
  <c r="P125" i="5"/>
  <c r="D110" i="5"/>
  <c r="P110" i="5"/>
  <c r="R96" i="5"/>
  <c r="B61" i="5"/>
  <c r="N61" i="5"/>
  <c r="C46" i="5"/>
  <c r="Q46" i="5"/>
  <c r="L29" i="5"/>
  <c r="G6" i="5"/>
  <c r="Q150" i="5"/>
  <c r="J79" i="5"/>
  <c r="B79" i="5"/>
  <c r="O79" i="5"/>
  <c r="I8" i="5"/>
  <c r="N164" i="5"/>
  <c r="B138" i="5"/>
  <c r="N138" i="5"/>
  <c r="E125" i="5"/>
  <c r="Q125" i="5"/>
  <c r="E110" i="5"/>
  <c r="Q110" i="5"/>
  <c r="D90" i="5"/>
  <c r="C61" i="5"/>
  <c r="O61" i="5"/>
  <c r="D46" i="5"/>
  <c r="R46" i="5"/>
  <c r="M29" i="5"/>
  <c r="M8" i="5"/>
  <c r="C79" i="5"/>
  <c r="P8" i="5"/>
  <c r="C138" i="5"/>
  <c r="O138" i="5"/>
  <c r="F125" i="5"/>
  <c r="R125" i="5"/>
  <c r="F110" i="5"/>
  <c r="R110" i="5"/>
  <c r="P90" i="5"/>
  <c r="D61" i="5"/>
  <c r="P61" i="5"/>
  <c r="E46" i="5"/>
  <c r="S46" i="5"/>
  <c r="K46" i="5"/>
  <c r="S79" i="5"/>
  <c r="J152" i="5"/>
  <c r="H79" i="5"/>
  <c r="P152" i="5"/>
  <c r="D8" i="5"/>
  <c r="D138" i="5"/>
  <c r="G125" i="5"/>
  <c r="O123" i="5"/>
  <c r="G110" i="5"/>
  <c r="E61" i="5"/>
  <c r="F46" i="5"/>
  <c r="G27" i="5"/>
  <c r="R135" i="5"/>
  <c r="J44" i="5"/>
  <c r="F59" i="5"/>
  <c r="K27" i="5"/>
  <c r="J27" i="5"/>
  <c r="D123" i="5"/>
  <c r="F150" i="5"/>
  <c r="R150" i="5"/>
  <c r="E90" i="5"/>
  <c r="Q90" i="5"/>
  <c r="H75" i="5"/>
  <c r="M59" i="5"/>
  <c r="D44" i="5"/>
  <c r="H6" i="5"/>
  <c r="B108" i="5"/>
  <c r="N44" i="5"/>
  <c r="L123" i="5"/>
  <c r="F135" i="5"/>
  <c r="G59" i="5"/>
  <c r="R123" i="5"/>
  <c r="G123" i="5"/>
  <c r="R44" i="5"/>
  <c r="Q44" i="5"/>
  <c r="K135" i="5"/>
  <c r="G150" i="5"/>
  <c r="J135" i="5"/>
  <c r="F90" i="5"/>
  <c r="R90" i="5"/>
  <c r="I75" i="5"/>
  <c r="P59" i="5"/>
  <c r="G44" i="5"/>
  <c r="I6" i="5"/>
  <c r="M108" i="5"/>
  <c r="B44" i="5"/>
  <c r="M123" i="5"/>
  <c r="S135" i="5"/>
  <c r="F44" i="5"/>
  <c r="E44" i="5"/>
  <c r="H150" i="5"/>
  <c r="G90" i="5"/>
  <c r="J75" i="5"/>
  <c r="Q59" i="5"/>
  <c r="K44" i="5"/>
  <c r="J6" i="5"/>
  <c r="S59" i="5"/>
  <c r="S150" i="5"/>
  <c r="K59" i="5"/>
  <c r="G135" i="5"/>
  <c r="N135" i="5"/>
  <c r="I150" i="5"/>
  <c r="H90" i="5"/>
  <c r="K75" i="5"/>
  <c r="M44" i="5"/>
  <c r="P23" i="5"/>
  <c r="L6" i="5"/>
  <c r="S44" i="5"/>
  <c r="C44" i="5"/>
  <c r="J123" i="5"/>
  <c r="B135" i="5"/>
  <c r="O59" i="5"/>
  <c r="N59" i="5"/>
  <c r="J150" i="5"/>
  <c r="I90" i="5"/>
  <c r="L75" i="5"/>
  <c r="P44" i="5"/>
  <c r="D27" i="5"/>
  <c r="N6" i="5"/>
  <c r="K6" i="5"/>
  <c r="S90" i="5"/>
  <c r="G108" i="5"/>
  <c r="R108" i="5"/>
  <c r="H135" i="5"/>
  <c r="Q135" i="5"/>
  <c r="M135" i="5"/>
  <c r="C59" i="5"/>
  <c r="Q123" i="5"/>
  <c r="B59" i="5"/>
  <c r="K150" i="5"/>
  <c r="J90" i="5"/>
  <c r="M75" i="5"/>
  <c r="I27" i="5"/>
  <c r="P6" i="5"/>
  <c r="E135" i="5"/>
  <c r="I123" i="5"/>
  <c r="E123" i="5"/>
  <c r="L150" i="5"/>
  <c r="K90" i="5"/>
  <c r="B75" i="5"/>
  <c r="N75" i="5"/>
  <c r="L27" i="5"/>
  <c r="S6" i="5"/>
  <c r="B123" i="5"/>
  <c r="F123" i="5"/>
  <c r="Q27" i="5"/>
  <c r="P135" i="5"/>
  <c r="M150" i="5"/>
  <c r="L90" i="5"/>
  <c r="C75" i="5"/>
  <c r="O75" i="5"/>
  <c r="P27" i="5"/>
  <c r="E27" i="5"/>
  <c r="D135" i="5"/>
  <c r="N27" i="5"/>
  <c r="M27" i="5"/>
  <c r="B150" i="5"/>
  <c r="N150" i="5"/>
  <c r="M90" i="5"/>
  <c r="D75" i="5"/>
  <c r="P75" i="5"/>
  <c r="D59" i="5"/>
  <c r="R27" i="5"/>
  <c r="R8" i="5"/>
  <c r="F108" i="5"/>
  <c r="K123" i="5"/>
  <c r="B27" i="5"/>
  <c r="H123" i="5"/>
  <c r="L135" i="5"/>
  <c r="C150" i="5"/>
  <c r="O150" i="5"/>
  <c r="B90" i="5"/>
  <c r="N90" i="5"/>
  <c r="E75" i="5"/>
  <c r="Q75" i="5"/>
  <c r="E59" i="5"/>
  <c r="E6" i="5"/>
  <c r="L44" i="5"/>
  <c r="O27" i="5"/>
  <c r="I44" i="5"/>
  <c r="O135" i="5"/>
  <c r="D150" i="5"/>
  <c r="C123" i="5"/>
  <c r="C90" i="5"/>
  <c r="F75" i="5"/>
  <c r="H59" i="5"/>
  <c r="F6" i="5"/>
  <c r="N82" i="5"/>
  <c r="K167" i="5"/>
  <c r="C23" i="5"/>
  <c r="B50" i="5"/>
  <c r="J155" i="5"/>
  <c r="L128" i="5"/>
  <c r="B101" i="5"/>
  <c r="N50" i="5"/>
  <c r="O23" i="5"/>
  <c r="K114" i="5"/>
  <c r="N101" i="5"/>
  <c r="I143" i="5"/>
  <c r="G64" i="5"/>
  <c r="C12" i="5"/>
  <c r="M6" i="5"/>
  <c r="R145" i="5"/>
  <c r="D85" i="5"/>
  <c r="E146" i="5"/>
  <c r="G170" i="5"/>
  <c r="F170" i="5"/>
  <c r="K170" i="5"/>
  <c r="G169" i="5"/>
  <c r="N158" i="5"/>
  <c r="K157" i="5"/>
  <c r="C145" i="5"/>
  <c r="O145" i="5"/>
  <c r="E131" i="5"/>
  <c r="Q131" i="5"/>
  <c r="K130" i="5"/>
  <c r="H117" i="5"/>
  <c r="D116" i="5"/>
  <c r="I103" i="5"/>
  <c r="J86" i="5"/>
  <c r="M85" i="5"/>
  <c r="J69" i="5"/>
  <c r="K55" i="5"/>
  <c r="D37" i="5"/>
  <c r="P37" i="5"/>
  <c r="M23" i="5"/>
  <c r="K117" i="5"/>
  <c r="B169" i="5"/>
  <c r="N130" i="5"/>
  <c r="I146" i="5"/>
  <c r="R146" i="5"/>
  <c r="N170" i="5"/>
  <c r="J170" i="5"/>
  <c r="F169" i="5"/>
  <c r="B158" i="5"/>
  <c r="O158" i="5"/>
  <c r="L157" i="5"/>
  <c r="D145" i="5"/>
  <c r="P145" i="5"/>
  <c r="F131" i="5"/>
  <c r="R131" i="5"/>
  <c r="L130" i="5"/>
  <c r="I117" i="5"/>
  <c r="N116" i="5"/>
  <c r="C104" i="5"/>
  <c r="J103" i="5"/>
  <c r="B85" i="5"/>
  <c r="N85" i="5"/>
  <c r="K69" i="5"/>
  <c r="L55" i="5"/>
  <c r="E37" i="5"/>
  <c r="Q37" i="5"/>
  <c r="B23" i="5"/>
  <c r="N23" i="5"/>
  <c r="G146" i="5"/>
  <c r="D170" i="5"/>
  <c r="M169" i="5"/>
  <c r="I170" i="5"/>
  <c r="E158" i="5"/>
  <c r="C157" i="5"/>
  <c r="O157" i="5"/>
  <c r="G145" i="5"/>
  <c r="S145" i="5"/>
  <c r="I131" i="5"/>
  <c r="C130" i="5"/>
  <c r="O130" i="5"/>
  <c r="M117" i="5"/>
  <c r="Q104" i="5"/>
  <c r="N103" i="5"/>
  <c r="E85" i="5"/>
  <c r="Q85" i="5"/>
  <c r="B69" i="5"/>
  <c r="N69" i="5"/>
  <c r="C55" i="5"/>
  <c r="O55" i="5"/>
  <c r="H37" i="5"/>
  <c r="S36" i="5"/>
  <c r="E23" i="5"/>
  <c r="Q23" i="5"/>
  <c r="B130" i="5"/>
  <c r="P85" i="5"/>
  <c r="G36" i="5"/>
  <c r="S103" i="5"/>
  <c r="J146" i="5"/>
  <c r="L170" i="5"/>
  <c r="F158" i="5"/>
  <c r="D157" i="5"/>
  <c r="P157" i="5"/>
  <c r="H145" i="5"/>
  <c r="J131" i="5"/>
  <c r="D130" i="5"/>
  <c r="P130" i="5"/>
  <c r="N117" i="5"/>
  <c r="B103" i="5"/>
  <c r="O103" i="5"/>
  <c r="F85" i="5"/>
  <c r="R85" i="5"/>
  <c r="C69" i="5"/>
  <c r="O69" i="5"/>
  <c r="D55" i="5"/>
  <c r="P55" i="5"/>
  <c r="I37" i="5"/>
  <c r="F23" i="5"/>
  <c r="R23" i="5"/>
  <c r="M103" i="5"/>
  <c r="M69" i="5"/>
  <c r="N146" i="5"/>
  <c r="L169" i="5"/>
  <c r="E169" i="5"/>
  <c r="G158" i="5"/>
  <c r="E157" i="5"/>
  <c r="Q157" i="5"/>
  <c r="I145" i="5"/>
  <c r="K131" i="5"/>
  <c r="E130" i="5"/>
  <c r="Q130" i="5"/>
  <c r="B117" i="5"/>
  <c r="O117" i="5"/>
  <c r="C103" i="5"/>
  <c r="P103" i="5"/>
  <c r="G85" i="5"/>
  <c r="D69" i="5"/>
  <c r="P69" i="5"/>
  <c r="E55" i="5"/>
  <c r="Q55" i="5"/>
  <c r="J37" i="5"/>
  <c r="G23" i="5"/>
  <c r="S55" i="5"/>
  <c r="B146" i="5"/>
  <c r="M170" i="5"/>
  <c r="K169" i="5"/>
  <c r="J169" i="5"/>
  <c r="H158" i="5"/>
  <c r="F157" i="5"/>
  <c r="R157" i="5"/>
  <c r="J145" i="5"/>
  <c r="L131" i="5"/>
  <c r="F130" i="5"/>
  <c r="R130" i="5"/>
  <c r="C117" i="5"/>
  <c r="P117" i="5"/>
  <c r="D103" i="5"/>
  <c r="Q103" i="5"/>
  <c r="H85" i="5"/>
  <c r="E69" i="5"/>
  <c r="Q69" i="5"/>
  <c r="F55" i="5"/>
  <c r="R55" i="5"/>
  <c r="K37" i="5"/>
  <c r="H23" i="5"/>
  <c r="O170" i="5"/>
  <c r="I158" i="5"/>
  <c r="G157" i="5"/>
  <c r="K145" i="5"/>
  <c r="M131" i="5"/>
  <c r="G130" i="5"/>
  <c r="S130" i="5"/>
  <c r="D117" i="5"/>
  <c r="Q117" i="5"/>
  <c r="E103" i="5"/>
  <c r="R103" i="5"/>
  <c r="I85" i="5"/>
  <c r="F69" i="5"/>
  <c r="R69" i="5"/>
  <c r="G55" i="5"/>
  <c r="B54" i="5"/>
  <c r="L37" i="5"/>
  <c r="I23" i="5"/>
  <c r="S37" i="5"/>
  <c r="K158" i="5"/>
  <c r="B157" i="5"/>
  <c r="C170" i="5"/>
  <c r="D169" i="5"/>
  <c r="J158" i="5"/>
  <c r="H157" i="5"/>
  <c r="L145" i="5"/>
  <c r="B131" i="5"/>
  <c r="N131" i="5"/>
  <c r="H130" i="5"/>
  <c r="E117" i="5"/>
  <c r="R117" i="5"/>
  <c r="F103" i="5"/>
  <c r="J85" i="5"/>
  <c r="G69" i="5"/>
  <c r="S69" i="5"/>
  <c r="H55" i="5"/>
  <c r="M37" i="5"/>
  <c r="J23" i="5"/>
  <c r="C146" i="5"/>
  <c r="P146" i="5"/>
  <c r="O169" i="5"/>
  <c r="I169" i="5"/>
  <c r="L158" i="5"/>
  <c r="I157" i="5"/>
  <c r="K146" i="5"/>
  <c r="M145" i="5"/>
  <c r="C131" i="5"/>
  <c r="O131" i="5"/>
  <c r="I130" i="5"/>
  <c r="F117" i="5"/>
  <c r="S117" i="5"/>
  <c r="G103" i="5"/>
  <c r="K85" i="5"/>
  <c r="H69" i="5"/>
  <c r="I55" i="5"/>
  <c r="B37" i="5"/>
  <c r="N37" i="5"/>
  <c r="K23" i="5"/>
  <c r="S23" i="5"/>
  <c r="N157" i="5"/>
  <c r="F145" i="5"/>
  <c r="Q146" i="5"/>
  <c r="C169" i="5"/>
  <c r="H169" i="5"/>
  <c r="B145" i="5"/>
  <c r="D131" i="5"/>
  <c r="L85" i="5"/>
  <c r="C37" i="5"/>
  <c r="L167" i="5"/>
  <c r="O101" i="5"/>
  <c r="H64" i="5"/>
  <c r="L35" i="5"/>
  <c r="K144" i="5"/>
  <c r="M35" i="5"/>
  <c r="I156" i="5"/>
  <c r="G156" i="5"/>
  <c r="D168" i="5"/>
  <c r="P168" i="5"/>
  <c r="M167" i="5"/>
  <c r="J156" i="5"/>
  <c r="L155" i="5"/>
  <c r="K143" i="5"/>
  <c r="B128" i="5"/>
  <c r="N128" i="5"/>
  <c r="Q115" i="5"/>
  <c r="M114" i="5"/>
  <c r="D101" i="5"/>
  <c r="P101" i="5"/>
  <c r="D82" i="5"/>
  <c r="P82" i="5"/>
  <c r="I64" i="5"/>
  <c r="D50" i="5"/>
  <c r="P50" i="5"/>
  <c r="R35" i="5"/>
  <c r="L114" i="5"/>
  <c r="S82" i="5"/>
  <c r="S143" i="5"/>
  <c r="D34" i="5"/>
  <c r="O34" i="5"/>
  <c r="N34" i="5"/>
  <c r="J20" i="5"/>
  <c r="K52" i="5"/>
  <c r="C20" i="5"/>
  <c r="S50" i="5"/>
  <c r="C34" i="5"/>
  <c r="B34" i="5"/>
  <c r="L20" i="5"/>
  <c r="I35" i="5"/>
  <c r="O20" i="5"/>
  <c r="D20" i="5"/>
  <c r="Q52" i="5"/>
  <c r="N156" i="5"/>
  <c r="L115" i="5"/>
  <c r="R156" i="5"/>
  <c r="E168" i="5"/>
  <c r="B167" i="5"/>
  <c r="N167" i="5"/>
  <c r="Q156" i="5"/>
  <c r="M155" i="5"/>
  <c r="L143" i="5"/>
  <c r="C128" i="5"/>
  <c r="O128" i="5"/>
  <c r="B114" i="5"/>
  <c r="N114" i="5"/>
  <c r="E101" i="5"/>
  <c r="Q101" i="5"/>
  <c r="E82" i="5"/>
  <c r="Q82" i="5"/>
  <c r="J64" i="5"/>
  <c r="E50" i="5"/>
  <c r="Q50" i="5"/>
  <c r="E41" i="5"/>
  <c r="Q41" i="5"/>
  <c r="H34" i="5"/>
  <c r="F27" i="5"/>
  <c r="I26" i="5"/>
  <c r="E25" i="5"/>
  <c r="C6" i="5"/>
  <c r="Q6" i="5"/>
  <c r="C101" i="5"/>
  <c r="H52" i="5"/>
  <c r="B35" i="5"/>
  <c r="N52" i="5"/>
  <c r="C35" i="5"/>
  <c r="B156" i="5"/>
  <c r="C129" i="5"/>
  <c r="H115" i="5"/>
  <c r="F156" i="5"/>
  <c r="F168" i="5"/>
  <c r="C167" i="5"/>
  <c r="O167" i="5"/>
  <c r="B155" i="5"/>
  <c r="N155" i="5"/>
  <c r="N144" i="5"/>
  <c r="M143" i="5"/>
  <c r="D128" i="5"/>
  <c r="P128" i="5"/>
  <c r="C114" i="5"/>
  <c r="O114" i="5"/>
  <c r="F101" i="5"/>
  <c r="R101" i="5"/>
  <c r="F82" i="5"/>
  <c r="R82" i="5"/>
  <c r="K64" i="5"/>
  <c r="F50" i="5"/>
  <c r="R50" i="5"/>
  <c r="D6" i="5"/>
  <c r="R6" i="5"/>
  <c r="K34" i="5"/>
  <c r="K155" i="5"/>
  <c r="J143" i="5"/>
  <c r="C82" i="5"/>
  <c r="O82" i="5"/>
  <c r="C50" i="5"/>
  <c r="M34" i="5"/>
  <c r="B20" i="5"/>
  <c r="M20" i="5"/>
  <c r="O115" i="5"/>
  <c r="I20" i="5"/>
  <c r="H156" i="5"/>
  <c r="R115" i="5"/>
  <c r="G168" i="5"/>
  <c r="D167" i="5"/>
  <c r="P167" i="5"/>
  <c r="C155" i="5"/>
  <c r="O155" i="5"/>
  <c r="B143" i="5"/>
  <c r="N143" i="5"/>
  <c r="E128" i="5"/>
  <c r="Q128" i="5"/>
  <c r="D114" i="5"/>
  <c r="P114" i="5"/>
  <c r="G101" i="5"/>
  <c r="G82" i="5"/>
  <c r="L64" i="5"/>
  <c r="G50" i="5"/>
  <c r="C52" i="5"/>
  <c r="C115" i="5"/>
  <c r="D52" i="5"/>
  <c r="F115" i="5"/>
  <c r="H168" i="5"/>
  <c r="E167" i="5"/>
  <c r="D155" i="5"/>
  <c r="P155" i="5"/>
  <c r="C143" i="5"/>
  <c r="O143" i="5"/>
  <c r="F128" i="5"/>
  <c r="R128" i="5"/>
  <c r="E114" i="5"/>
  <c r="Q114" i="5"/>
  <c r="H101" i="5"/>
  <c r="H82" i="5"/>
  <c r="M64" i="5"/>
  <c r="H50" i="5"/>
  <c r="O44" i="5"/>
  <c r="L144" i="5"/>
  <c r="K115" i="5"/>
  <c r="O144" i="5"/>
  <c r="I168" i="5"/>
  <c r="F167" i="5"/>
  <c r="E155" i="5"/>
  <c r="Q155" i="5"/>
  <c r="D143" i="5"/>
  <c r="P143" i="5"/>
  <c r="G128" i="5"/>
  <c r="S128" i="5"/>
  <c r="F114" i="5"/>
  <c r="R114" i="5"/>
  <c r="I101" i="5"/>
  <c r="I82" i="5"/>
  <c r="B64" i="5"/>
  <c r="N64" i="5"/>
  <c r="I50" i="5"/>
  <c r="B52" i="5"/>
  <c r="S20" i="5"/>
  <c r="Q20" i="5"/>
  <c r="O156" i="5"/>
  <c r="M115" i="5"/>
  <c r="B129" i="5"/>
  <c r="J168" i="5"/>
  <c r="G167" i="5"/>
  <c r="F155" i="5"/>
  <c r="R155" i="5"/>
  <c r="E143" i="5"/>
  <c r="Q143" i="5"/>
  <c r="H128" i="5"/>
  <c r="G114" i="5"/>
  <c r="S114" i="5"/>
  <c r="J101" i="5"/>
  <c r="J82" i="5"/>
  <c r="C64" i="5"/>
  <c r="O64" i="5"/>
  <c r="J50" i="5"/>
  <c r="K19" i="5"/>
  <c r="S155" i="5"/>
  <c r="S101" i="5"/>
  <c r="P34" i="5"/>
  <c r="J34" i="5"/>
  <c r="S35" i="5"/>
  <c r="I34" i="5"/>
  <c r="K20" i="5"/>
  <c r="L52" i="5"/>
  <c r="R34" i="5"/>
  <c r="S34" i="5"/>
  <c r="F34" i="5"/>
  <c r="F35" i="5"/>
  <c r="F52" i="5"/>
  <c r="Q35" i="5"/>
  <c r="N20" i="5"/>
  <c r="P52" i="5"/>
  <c r="C156" i="5"/>
  <c r="P129" i="5"/>
  <c r="K156" i="5"/>
  <c r="E20" i="5"/>
  <c r="K168" i="5"/>
  <c r="H167" i="5"/>
  <c r="G155" i="5"/>
  <c r="F143" i="5"/>
  <c r="R143" i="5"/>
  <c r="I128" i="5"/>
  <c r="H114" i="5"/>
  <c r="K101" i="5"/>
  <c r="K82" i="5"/>
  <c r="D64" i="5"/>
  <c r="P64" i="5"/>
  <c r="K50" i="5"/>
  <c r="O50" i="5"/>
  <c r="R20" i="5"/>
  <c r="J52" i="5"/>
  <c r="G34" i="5"/>
  <c r="Q34" i="5"/>
  <c r="P35" i="5"/>
  <c r="D35" i="5"/>
  <c r="M52" i="5"/>
  <c r="G35" i="5"/>
  <c r="P20" i="5"/>
  <c r="E52" i="5"/>
  <c r="O35" i="5"/>
  <c r="J144" i="5"/>
  <c r="S115" i="5"/>
  <c r="L168" i="5"/>
  <c r="I167" i="5"/>
  <c r="H155" i="5"/>
  <c r="G143" i="5"/>
  <c r="J128" i="5"/>
  <c r="I114" i="5"/>
  <c r="L101" i="5"/>
  <c r="L82" i="5"/>
  <c r="E64" i="5"/>
  <c r="Q64" i="5"/>
  <c r="L50" i="5"/>
  <c r="M128" i="5"/>
  <c r="S64" i="5"/>
  <c r="E34" i="5"/>
  <c r="R52" i="5"/>
  <c r="F20" i="5"/>
  <c r="J35" i="5"/>
  <c r="S52" i="5"/>
  <c r="G52" i="5"/>
  <c r="G115" i="5"/>
  <c r="F64" i="5"/>
  <c r="O52" i="5"/>
  <c r="I22" i="5"/>
  <c r="K103" i="5"/>
  <c r="B6" i="5"/>
  <c r="K35" i="5"/>
  <c r="J33" i="5"/>
  <c r="K33" i="5"/>
  <c r="L33" i="5"/>
  <c r="B33" i="5"/>
  <c r="N33" i="5"/>
  <c r="N5" i="5"/>
  <c r="D33" i="5"/>
  <c r="P33" i="5"/>
  <c r="L2" i="5"/>
  <c r="P2" i="5"/>
  <c r="F33" i="5"/>
  <c r="R33" i="5"/>
  <c r="G33" i="5"/>
  <c r="M54" i="5"/>
  <c r="G66" i="5"/>
  <c r="J83" i="5"/>
  <c r="P102" i="5"/>
  <c r="Q154" i="5"/>
  <c r="D166" i="5"/>
  <c r="N56" i="5"/>
  <c r="H70" i="5"/>
  <c r="G86" i="5"/>
  <c r="N104" i="5"/>
  <c r="S116" i="5"/>
  <c r="P156" i="5"/>
  <c r="M43" i="5"/>
  <c r="H106" i="5"/>
  <c r="M119" i="5"/>
  <c r="H170" i="5"/>
  <c r="S56" i="5"/>
  <c r="B164" i="5"/>
  <c r="D129" i="5"/>
  <c r="O129" i="5"/>
  <c r="H144" i="5"/>
  <c r="F144" i="5"/>
  <c r="D144" i="5"/>
  <c r="C144" i="5"/>
  <c r="G154" i="5"/>
  <c r="S154" i="5"/>
  <c r="S144" i="5"/>
  <c r="H142" i="5"/>
  <c r="H129" i="5"/>
  <c r="F127" i="5"/>
  <c r="R127" i="5"/>
  <c r="C116" i="5"/>
  <c r="O116" i="5"/>
  <c r="D104" i="5"/>
  <c r="P104" i="5"/>
  <c r="I86" i="5"/>
  <c r="J70" i="5"/>
  <c r="C54" i="5"/>
  <c r="O54" i="5"/>
  <c r="B39" i="5"/>
  <c r="S39" i="5"/>
  <c r="H36" i="5"/>
  <c r="J22" i="5"/>
  <c r="M12" i="5"/>
  <c r="O2" i="5"/>
  <c r="D54" i="5"/>
  <c r="C24" i="5"/>
  <c r="K22" i="5"/>
  <c r="G24" i="5"/>
  <c r="Q24" i="5"/>
  <c r="D152" i="5"/>
  <c r="I164" i="5"/>
  <c r="I144" i="5"/>
  <c r="S129" i="5"/>
  <c r="F166" i="5"/>
  <c r="I154" i="5"/>
  <c r="J142" i="5"/>
  <c r="H127" i="5"/>
  <c r="E116" i="5"/>
  <c r="Q116" i="5"/>
  <c r="F104" i="5"/>
  <c r="R104" i="5"/>
  <c r="K86" i="5"/>
  <c r="L70" i="5"/>
  <c r="D56" i="5"/>
  <c r="E54" i="5"/>
  <c r="Q54" i="5"/>
  <c r="D39" i="5"/>
  <c r="J36" i="5"/>
  <c r="D24" i="5"/>
  <c r="L22" i="5"/>
  <c r="K164" i="5"/>
  <c r="P54" i="5"/>
  <c r="I36" i="5"/>
  <c r="E166" i="5"/>
  <c r="K24" i="5"/>
  <c r="K152" i="5"/>
  <c r="S152" i="5"/>
  <c r="E24" i="5"/>
  <c r="M164" i="5"/>
  <c r="L66" i="5"/>
  <c r="E66" i="5"/>
  <c r="J154" i="5"/>
  <c r="K142" i="5"/>
  <c r="I127" i="5"/>
  <c r="F116" i="5"/>
  <c r="R116" i="5"/>
  <c r="G104" i="5"/>
  <c r="L86" i="5"/>
  <c r="G83" i="5"/>
  <c r="M70" i="5"/>
  <c r="H56" i="5"/>
  <c r="F54" i="5"/>
  <c r="R54" i="5"/>
  <c r="E39" i="5"/>
  <c r="K36" i="5"/>
  <c r="F24" i="5"/>
  <c r="M22" i="5"/>
  <c r="S86" i="5"/>
  <c r="G39" i="5"/>
  <c r="L36" i="5"/>
  <c r="H24" i="5"/>
  <c r="B22" i="5"/>
  <c r="N22" i="5"/>
  <c r="R66" i="5"/>
  <c r="J127" i="5"/>
  <c r="G116" i="5"/>
  <c r="H104" i="5"/>
  <c r="M86" i="5"/>
  <c r="L83" i="5"/>
  <c r="B70" i="5"/>
  <c r="N70" i="5"/>
  <c r="S66" i="5"/>
  <c r="I56" i="5"/>
  <c r="G54" i="5"/>
  <c r="S54" i="5"/>
  <c r="C166" i="5"/>
  <c r="M24" i="5"/>
  <c r="L39" i="5"/>
  <c r="J164" i="5"/>
  <c r="P164" i="5"/>
  <c r="E83" i="5"/>
  <c r="D83" i="5"/>
  <c r="J66" i="5"/>
  <c r="H66" i="5"/>
  <c r="F66" i="5"/>
  <c r="N102" i="5"/>
  <c r="D66" i="5"/>
  <c r="O66" i="5"/>
  <c r="R83" i="5"/>
  <c r="L154" i="5"/>
  <c r="F152" i="5"/>
  <c r="M142" i="5"/>
  <c r="K127" i="5"/>
  <c r="H116" i="5"/>
  <c r="I104" i="5"/>
  <c r="B86" i="5"/>
  <c r="N86" i="5"/>
  <c r="C70" i="5"/>
  <c r="O70" i="5"/>
  <c r="P56" i="5"/>
  <c r="H54" i="5"/>
  <c r="J39" i="5"/>
  <c r="M36" i="5"/>
  <c r="I24" i="5"/>
  <c r="C22" i="5"/>
  <c r="O22" i="5"/>
  <c r="S22" i="5"/>
  <c r="G152" i="5"/>
  <c r="M83" i="5"/>
  <c r="M154" i="5"/>
  <c r="B142" i="5"/>
  <c r="N142" i="5"/>
  <c r="L127" i="5"/>
  <c r="I116" i="5"/>
  <c r="J104" i="5"/>
  <c r="C86" i="5"/>
  <c r="O86" i="5"/>
  <c r="D70" i="5"/>
  <c r="P70" i="5"/>
  <c r="I54" i="5"/>
  <c r="K39" i="5"/>
  <c r="B36" i="5"/>
  <c r="N36" i="5"/>
  <c r="J24" i="5"/>
  <c r="D22" i="5"/>
  <c r="P22" i="5"/>
  <c r="Q83" i="5"/>
  <c r="K154" i="5"/>
  <c r="C152" i="5"/>
  <c r="D164" i="5"/>
  <c r="I102" i="5"/>
  <c r="O152" i="5"/>
  <c r="L152" i="5"/>
  <c r="R39" i="5"/>
  <c r="E152" i="5"/>
  <c r="E164" i="5"/>
  <c r="C83" i="5"/>
  <c r="N83" i="5"/>
  <c r="Q102" i="5"/>
  <c r="O102" i="5"/>
  <c r="M102" i="5"/>
  <c r="L102" i="5"/>
  <c r="B154" i="5"/>
  <c r="N154" i="5"/>
  <c r="R152" i="5"/>
  <c r="C142" i="5"/>
  <c r="O142" i="5"/>
  <c r="M127" i="5"/>
  <c r="J116" i="5"/>
  <c r="K104" i="5"/>
  <c r="D86" i="5"/>
  <c r="P86" i="5"/>
  <c r="E70" i="5"/>
  <c r="Q70" i="5"/>
  <c r="J54" i="5"/>
  <c r="M39" i="5"/>
  <c r="C36" i="5"/>
  <c r="O36" i="5"/>
  <c r="L24" i="5"/>
  <c r="E22" i="5"/>
  <c r="Q22" i="5"/>
  <c r="C2" i="5"/>
  <c r="B24" i="5"/>
  <c r="O83" i="5"/>
  <c r="I83" i="5"/>
  <c r="I152" i="5"/>
  <c r="F39" i="5"/>
  <c r="H164" i="5"/>
  <c r="O164" i="5"/>
  <c r="L164" i="5"/>
  <c r="F83" i="5"/>
  <c r="S102" i="5"/>
  <c r="B83" i="5"/>
  <c r="E102" i="5"/>
  <c r="C102" i="5"/>
  <c r="K129" i="5"/>
  <c r="C154" i="5"/>
  <c r="O154" i="5"/>
  <c r="D142" i="5"/>
  <c r="P142" i="5"/>
  <c r="B127" i="5"/>
  <c r="N127" i="5"/>
  <c r="K116" i="5"/>
  <c r="L104" i="5"/>
  <c r="D102" i="5"/>
  <c r="E86" i="5"/>
  <c r="Q86" i="5"/>
  <c r="F70" i="5"/>
  <c r="R70" i="5"/>
  <c r="K54" i="5"/>
  <c r="N39" i="5"/>
  <c r="D36" i="5"/>
  <c r="P36" i="5"/>
  <c r="O24" i="5"/>
  <c r="F22" i="5"/>
  <c r="R22" i="5"/>
  <c r="D2" i="5"/>
  <c r="S83" i="5"/>
  <c r="P66" i="5"/>
  <c r="L142" i="5"/>
  <c r="Q152" i="5"/>
  <c r="H102" i="5"/>
  <c r="I66" i="5"/>
  <c r="K83" i="5"/>
  <c r="B102" i="5"/>
  <c r="H83" i="5"/>
  <c r="H166" i="5"/>
  <c r="B166" i="5"/>
  <c r="G166" i="5"/>
  <c r="O166" i="5"/>
  <c r="H39" i="5"/>
  <c r="G164" i="5"/>
  <c r="C164" i="5"/>
  <c r="L166" i="5"/>
  <c r="R129" i="5"/>
  <c r="Q129" i="5"/>
  <c r="G102" i="5"/>
  <c r="R102" i="5"/>
  <c r="Q144" i="5"/>
  <c r="D154" i="5"/>
  <c r="P154" i="5"/>
  <c r="B144" i="5"/>
  <c r="E142" i="5"/>
  <c r="Q142" i="5"/>
  <c r="C127" i="5"/>
  <c r="O127" i="5"/>
  <c r="L116" i="5"/>
  <c r="M104" i="5"/>
  <c r="K102" i="5"/>
  <c r="F86" i="5"/>
  <c r="R86" i="5"/>
  <c r="G70" i="5"/>
  <c r="S70" i="5"/>
  <c r="L54" i="5"/>
  <c r="O39" i="5"/>
  <c r="E36" i="5"/>
  <c r="Q36" i="5"/>
  <c r="P24" i="5"/>
  <c r="G22" i="5"/>
  <c r="H2" i="5"/>
  <c r="J102" i="5"/>
  <c r="I166" i="5"/>
  <c r="M152" i="5"/>
  <c r="H152" i="5"/>
  <c r="P83" i="5"/>
  <c r="P166" i="5"/>
  <c r="N166" i="5"/>
  <c r="G129" i="5"/>
  <c r="F129" i="5"/>
  <c r="E129" i="5"/>
  <c r="F102" i="5"/>
  <c r="N129" i="5"/>
  <c r="L129" i="5"/>
  <c r="E144" i="5"/>
  <c r="J129" i="5"/>
  <c r="E154" i="5"/>
  <c r="G144" i="5"/>
  <c r="F142" i="5"/>
  <c r="D127" i="5"/>
  <c r="M116" i="5"/>
  <c r="B104" i="5"/>
  <c r="P39" i="5"/>
  <c r="F36" i="5"/>
  <c r="R24" i="5"/>
  <c r="I2" i="5"/>
  <c r="K25" i="5"/>
  <c r="O8" i="5"/>
  <c r="I5" i="5"/>
  <c r="M2" i="5"/>
  <c r="G25" i="5"/>
  <c r="O12" i="5"/>
  <c r="G2" i="5"/>
  <c r="F19" i="5"/>
  <c r="R19" i="5"/>
  <c r="K99" i="5"/>
  <c r="G19" i="5"/>
  <c r="N8" i="5"/>
  <c r="H19" i="5"/>
  <c r="I19" i="5"/>
  <c r="J19" i="5"/>
  <c r="L19" i="5"/>
  <c r="K133" i="5"/>
  <c r="M19" i="5"/>
  <c r="B19" i="5"/>
  <c r="N19" i="5"/>
  <c r="J81" i="5"/>
  <c r="C19" i="5"/>
  <c r="O19" i="5"/>
  <c r="S19" i="5"/>
  <c r="D19" i="5"/>
  <c r="P19" i="5"/>
  <c r="E19" i="5"/>
  <c r="N108" i="5"/>
  <c r="I17" i="5"/>
  <c r="N17" i="5"/>
  <c r="G80" i="5"/>
  <c r="M96" i="5"/>
  <c r="N66" i="5"/>
  <c r="C56" i="5"/>
  <c r="O56" i="5"/>
  <c r="B43" i="5"/>
  <c r="N43" i="5"/>
  <c r="G29" i="5"/>
  <c r="K80" i="5"/>
  <c r="C96" i="5"/>
  <c r="O96" i="5"/>
  <c r="E56" i="5"/>
  <c r="Q56" i="5"/>
  <c r="D43" i="5"/>
  <c r="P43" i="5"/>
  <c r="I29" i="5"/>
  <c r="S96" i="5"/>
  <c r="O80" i="5"/>
  <c r="E108" i="5"/>
  <c r="F17" i="5"/>
  <c r="C80" i="5"/>
  <c r="K66" i="5"/>
  <c r="Q66" i="5"/>
  <c r="Q108" i="5"/>
  <c r="D96" i="5"/>
  <c r="P96" i="5"/>
  <c r="F56" i="5"/>
  <c r="R56" i="5"/>
  <c r="E43" i="5"/>
  <c r="Q43" i="5"/>
  <c r="J29" i="5"/>
  <c r="J2" i="5"/>
  <c r="E96" i="5"/>
  <c r="Q96" i="5"/>
  <c r="B80" i="5"/>
  <c r="G56" i="5"/>
  <c r="F43" i="5"/>
  <c r="R43" i="5"/>
  <c r="K29" i="5"/>
  <c r="K2" i="5"/>
  <c r="K17" i="5"/>
  <c r="M66" i="5"/>
  <c r="L80" i="5"/>
  <c r="I108" i="5"/>
  <c r="L108" i="5"/>
  <c r="M17" i="5"/>
  <c r="C66" i="5"/>
  <c r="H96" i="5"/>
  <c r="N80" i="5"/>
  <c r="J56" i="5"/>
  <c r="I43" i="5"/>
  <c r="B29" i="5"/>
  <c r="N29" i="5"/>
  <c r="B2" i="5"/>
  <c r="N2" i="5"/>
  <c r="S29" i="5"/>
  <c r="P108" i="5"/>
  <c r="O108" i="5"/>
  <c r="R80" i="5"/>
  <c r="I96" i="5"/>
  <c r="P80" i="5"/>
  <c r="K56" i="5"/>
  <c r="J43" i="5"/>
  <c r="C29" i="5"/>
  <c r="O29" i="5"/>
  <c r="S108" i="5"/>
  <c r="D108" i="5"/>
  <c r="C108" i="5"/>
  <c r="K108" i="5"/>
  <c r="F80" i="5"/>
  <c r="J96" i="5"/>
  <c r="L56" i="5"/>
  <c r="K43" i="5"/>
  <c r="D29" i="5"/>
  <c r="P29" i="5"/>
  <c r="K96" i="5"/>
  <c r="B66" i="5"/>
  <c r="M56" i="5"/>
  <c r="L43" i="5"/>
  <c r="E29" i="5"/>
  <c r="Q29" i="5"/>
  <c r="E2" i="5"/>
  <c r="Q2" i="5"/>
  <c r="O146" i="5"/>
  <c r="H108" i="5"/>
  <c r="J17" i="5"/>
  <c r="J80" i="5"/>
  <c r="B56" i="5"/>
  <c r="F29" i="5"/>
  <c r="F2" i="5"/>
  <c r="P955" i="1"/>
  <c r="O955" i="1"/>
</calcChain>
</file>

<file path=xl/sharedStrings.xml><?xml version="1.0" encoding="utf-8"?>
<sst xmlns="http://schemas.openxmlformats.org/spreadsheetml/2006/main" count="25104" uniqueCount="5718">
  <si>
    <t>N°</t>
  </si>
  <si>
    <t>Nombre actividad</t>
  </si>
  <si>
    <t>Fecha</t>
  </si>
  <si>
    <t>Hora</t>
  </si>
  <si>
    <t>Tipo de Agenda</t>
  </si>
  <si>
    <t>Proceso</t>
  </si>
  <si>
    <t>Modalidad</t>
  </si>
  <si>
    <t>Objetivo</t>
  </si>
  <si>
    <t>Mecanismo de Participación</t>
  </si>
  <si>
    <t>Tipo de actor</t>
  </si>
  <si>
    <r>
      <t>Clasificación del actor</t>
    </r>
    <r>
      <rPr>
        <sz val="9"/>
        <color rgb="FF000000"/>
        <rFont val="Calibri"/>
      </rPr>
      <t xml:space="preserve"> 
(vinculado al tipo de actor)</t>
    </r>
  </si>
  <si>
    <t>Nombre actor  que lidera</t>
  </si>
  <si>
    <t>Teléfono de actor  que lidera</t>
  </si>
  <si>
    <t>Correo electrónico  de actor que lidera</t>
  </si>
  <si>
    <r>
      <t xml:space="preserve">Localidad 
</t>
    </r>
    <r>
      <rPr>
        <sz val="9"/>
        <color rgb="FF000000"/>
        <rFont val="Calibri"/>
      </rPr>
      <t>(Desplegable)</t>
    </r>
  </si>
  <si>
    <t>L1</t>
  </si>
  <si>
    <t>L2</t>
  </si>
  <si>
    <t>L3</t>
  </si>
  <si>
    <t>L4</t>
  </si>
  <si>
    <t>L5</t>
  </si>
  <si>
    <t>L6</t>
  </si>
  <si>
    <t>Sectores Territoriales</t>
  </si>
  <si>
    <t>S1</t>
  </si>
  <si>
    <t>S2</t>
  </si>
  <si>
    <t>S3</t>
  </si>
  <si>
    <t>S4</t>
  </si>
  <si>
    <t>S5</t>
  </si>
  <si>
    <t>S6</t>
  </si>
  <si>
    <r>
      <t xml:space="preserve">UPL
</t>
    </r>
    <r>
      <rPr>
        <sz val="9"/>
        <color rgb="FF000000"/>
        <rFont val="Calibri"/>
      </rPr>
      <t>(Unidad de Planeamiento Local - Desplegable)</t>
    </r>
  </si>
  <si>
    <t>UPL 1</t>
  </si>
  <si>
    <t>UPL 2</t>
  </si>
  <si>
    <t>UPL 3</t>
  </si>
  <si>
    <t>UPL 4</t>
  </si>
  <si>
    <t>UPL 5</t>
  </si>
  <si>
    <t>UPL 6</t>
  </si>
  <si>
    <t>UPL 7</t>
  </si>
  <si>
    <t>UPL 8</t>
  </si>
  <si>
    <t>UPL 9</t>
  </si>
  <si>
    <t>UPL 10</t>
  </si>
  <si>
    <t>Barrio</t>
  </si>
  <si>
    <t xml:space="preserve">Dirección </t>
  </si>
  <si>
    <t>¿Hace parte de la Formulación PDD?</t>
  </si>
  <si>
    <t>¿A qué categoría pertenece?</t>
  </si>
  <si>
    <t>Número de Asistentes</t>
  </si>
  <si>
    <t>Número de Funcionarios SDP</t>
  </si>
  <si>
    <t>Cantidad total de Participantes</t>
  </si>
  <si>
    <t>Estrategias de Adaptación incluidas</t>
  </si>
  <si>
    <t>E1</t>
  </si>
  <si>
    <t>E2</t>
  </si>
  <si>
    <t>E3</t>
  </si>
  <si>
    <t>Temas relevantes</t>
  </si>
  <si>
    <t>Compromiso 1</t>
  </si>
  <si>
    <t>Compromiso 2</t>
  </si>
  <si>
    <t>Compromiso 3</t>
  </si>
  <si>
    <t>Compromiso 4</t>
  </si>
  <si>
    <t>Compromiso 5</t>
  </si>
  <si>
    <t>Compromiso 6</t>
  </si>
  <si>
    <t>Gestión: Presentación de la metodología intersectorial de participación para la formulación del PDD</t>
  </si>
  <si>
    <t>OPDC</t>
  </si>
  <si>
    <t>NO</t>
  </si>
  <si>
    <t>SÍ</t>
  </si>
  <si>
    <t>Plan Distrital de Desarrollo</t>
  </si>
  <si>
    <t>Presencial</t>
  </si>
  <si>
    <t xml:space="preserve">Socializar la metodología intersectorial de participación para la formulación del Plan Distrital de Desarrollo. </t>
  </si>
  <si>
    <t>Gestión Institucional</t>
  </si>
  <si>
    <t>José Francisco Quiroz</t>
  </si>
  <si>
    <t>Yeiker Guerra Sarmiento</t>
  </si>
  <si>
    <t>Yohan David Díaz</t>
  </si>
  <si>
    <t>Diana Carolina Aristizábal</t>
  </si>
  <si>
    <t>Luz Maritza Acero</t>
  </si>
  <si>
    <t>Público</t>
  </si>
  <si>
    <t>Servidores públicos (Distrital)</t>
  </si>
  <si>
    <t>Sin información</t>
  </si>
  <si>
    <t>Distrital</t>
  </si>
  <si>
    <t>No Especifíca</t>
  </si>
  <si>
    <t>Ninguna</t>
  </si>
  <si>
    <t>Auditorio Jardín Botánico</t>
  </si>
  <si>
    <t>Gestión interinstitucional</t>
  </si>
  <si>
    <t>No Aplica</t>
  </si>
  <si>
    <t>Metodología de participación para la formulación del Plan Distrital de Desarrollo, responsabilidades de las partes, proceso de socialización de las herramientas, dinámicas territoriales.</t>
  </si>
  <si>
    <t>No aplica</t>
  </si>
  <si>
    <t>Subsanado</t>
  </si>
  <si>
    <t>Completo</t>
  </si>
  <si>
    <t>Gestión: Reunión Intersectorial - Secretaría de Gobierno - Asuntos Étnicos</t>
  </si>
  <si>
    <t>Realizar gestión interinstitucional para la formulación del PDD.</t>
  </si>
  <si>
    <t>Gabriel Angarita</t>
  </si>
  <si>
    <t>Gestión interinstitucional PDD.</t>
  </si>
  <si>
    <t>No existente</t>
  </si>
  <si>
    <t>Gestión: II Presentación de la metodología intersectorial de participación para la formulación del PDD</t>
  </si>
  <si>
    <t>Presentar la estrategia de participación del Plan de Desarrollo</t>
  </si>
  <si>
    <t>PENDIENTE</t>
  </si>
  <si>
    <t>SuperCADE CAD</t>
  </si>
  <si>
    <t>Red institucional de Apoyo a las Veedurías Ciudadanas: Presentación planeación participativa del PDD</t>
  </si>
  <si>
    <t>INSTANCIAS</t>
  </si>
  <si>
    <t>Red institucional de veedurías ciudadanas</t>
  </si>
  <si>
    <t>Virtual</t>
  </si>
  <si>
    <t>Sostener sesión mensual de la Red y en el marco de la agenda hacer la presentación de la planeación participativa del PDD.</t>
  </si>
  <si>
    <t>Órganos de control</t>
  </si>
  <si>
    <t>Gloria Osorio</t>
  </si>
  <si>
    <t>gosorio@veeduriadistrital.gov.co</t>
  </si>
  <si>
    <t>Revisión plan de acción, exposición estrategia metodología participativa PDD</t>
  </si>
  <si>
    <t>Citación sesión JAL Ciudad Bolivar - Conformación CTPD 2024</t>
  </si>
  <si>
    <t>CTPD (Consejo Territorial de Planeación Distrital)</t>
  </si>
  <si>
    <t>Apoyar y orientar la conformación del CTPD 2024.</t>
  </si>
  <si>
    <t>JAL</t>
  </si>
  <si>
    <t>Nancy Viviana Roa Gomez</t>
  </si>
  <si>
    <t>jal.cbolivar@gobiernobogota.gov.co</t>
  </si>
  <si>
    <t>Ciudad Bolívar</t>
  </si>
  <si>
    <t>Suroriente</t>
  </si>
  <si>
    <t>Ruralidad</t>
  </si>
  <si>
    <t>Arborizadora</t>
  </si>
  <si>
    <t>Lucero</t>
  </si>
  <si>
    <t>Cuenca del Tunjuelo</t>
  </si>
  <si>
    <t xml:space="preserve">Diagonal 62 sur # 20F - 20 </t>
  </si>
  <si>
    <t>Informe CTPD proceso de conformación 2024.</t>
  </si>
  <si>
    <t>Taller Actuación Estratégica AEDA - Líderes de JAC Engativá</t>
  </si>
  <si>
    <t>Formulación de Actuaciones Estratégicas</t>
  </si>
  <si>
    <t>Acompañar la socialización del balance de la Actuación Estratégica Distrito Aeroportuario (AEDA) a los líderes de las Juntas de Acción Comunal de Engativá.</t>
  </si>
  <si>
    <t>Mecanismo de Seguimiento y Evaluación</t>
  </si>
  <si>
    <t>Comunitario</t>
  </si>
  <si>
    <t>ASOJUNTAS - JAC</t>
  </si>
  <si>
    <t>Martha Ávila</t>
  </si>
  <si>
    <t>mavilah@renobo.com.co</t>
  </si>
  <si>
    <t>Engativá</t>
  </si>
  <si>
    <t>Occidente</t>
  </si>
  <si>
    <t>Socialización del balance de la Actuación Estratégica Distrito Aeroportuario (AEDA) a los presidentes de las Juntas de Acción Comunal de Engativá.</t>
  </si>
  <si>
    <t>Entrega de certificados - Plan de Formación CTPD 2023</t>
  </si>
  <si>
    <t xml:space="preserve">Entregar certificados de reconocimiento al proceso de formación de consejeros que superaron el plan pedagógico. </t>
  </si>
  <si>
    <t>Mecanismo de Fortalecimiento Ciudadano para la Planeación Participativa</t>
  </si>
  <si>
    <t>CTPD</t>
  </si>
  <si>
    <t>Aura Amelia Abril Castro</t>
  </si>
  <si>
    <t>fundamujer2001@gmail.com</t>
  </si>
  <si>
    <t>Auditorio UNAL Facultad de Derecho, Ciencias Políticas y Sociales. Edificio 610</t>
  </si>
  <si>
    <t>Reconocimiento a consejeros por culminación de proceso formativo de acuerdo al Plan de Formación CTPD 2023</t>
  </si>
  <si>
    <t>Gestión: Encuentro Equipo OPDC</t>
  </si>
  <si>
    <t>Gestión del Plan Institucional de Participación Ciudadana</t>
  </si>
  <si>
    <t>Socializar los principales retos que afrontará el Equipo OPDC durante esta vigencia.</t>
  </si>
  <si>
    <t>Humberto Díaz Acosta</t>
  </si>
  <si>
    <t>Cra. 10 #26-21 - Hotel Tequendama</t>
  </si>
  <si>
    <t>Metodología para la Construcción del PDD.</t>
  </si>
  <si>
    <t>Gestión: Activación Escuela de Participación</t>
  </si>
  <si>
    <t>Establecer los parámetros del proceso de formación a CTPD y CPL en el marco de formulación del PDD.</t>
  </si>
  <si>
    <t>Presentación de la estrategia de participación del PDD para articular proceso de formación con la Escuela de Participación del CTPD.</t>
  </si>
  <si>
    <t>Gestión: Jornada de capacitación del instrumento digital Fase I - Estrategia de Participación del PDD</t>
  </si>
  <si>
    <t>Realizar capacitación del instrumento digital Fase I de la Estrategia de Participación del Plan Distrital de Desarrollo dirigido a colaboradores de las entidades que van a implementar el instrumento.</t>
  </si>
  <si>
    <t>Michael Cruz Roa</t>
  </si>
  <si>
    <t>meet.google.com/yaw-rxch-jcz</t>
  </si>
  <si>
    <t>Sondeos ciudadanos para el Plan de Desarrollo Distrital.</t>
  </si>
  <si>
    <t>Instalación protocolaria de los Consejos de Planeación Local - CPL</t>
  </si>
  <si>
    <t>Escenarios individuales</t>
  </si>
  <si>
    <t>Acompañar la Instalación protocolaria de la Comisión Intersectorial de Participación</t>
  </si>
  <si>
    <t>La importancia de la participación en los ejercicios locales de planeación estratégica.</t>
  </si>
  <si>
    <t>Gestión: Reunión preparatoria SDG-SDP</t>
  </si>
  <si>
    <t xml:space="preserve">Conocer avances de la SecGob frente a la preparación metodologica de participación con grupos étnicos </t>
  </si>
  <si>
    <t>Secretaria de Gobierno / Yamile Ospina</t>
  </si>
  <si>
    <t>Calle 11 # 8 17</t>
  </si>
  <si>
    <t xml:space="preserve">Gestión interinstitucional PDD - Grupos Étnicos </t>
  </si>
  <si>
    <t>Gestión: Reunión interinstitucional - Estrategia de participación PDD sectores distritales</t>
  </si>
  <si>
    <t>Auditorio Secretaria Distrital de Planeacion,  CAD</t>
  </si>
  <si>
    <t>Gestión: Reunión interinstitucional - Estrategia de participación PDD con DASCD</t>
  </si>
  <si>
    <t>No especifíca</t>
  </si>
  <si>
    <t>Metodología de participación para la formulación del Plan Distrital de Desarrollo, responsabilidades de las partes, proceso de socialización de las herramientas enfocado en servidores públicos.</t>
  </si>
  <si>
    <t>Gestión: Tareas de seguimiento - ejercicio de Planeación participativa para regalias</t>
  </si>
  <si>
    <t xml:space="preserve">Coordinar acciones dentro del marco de integrar el componente de regalías en el PDD. </t>
  </si>
  <si>
    <t>Jenny Giraldo</t>
  </si>
  <si>
    <t>310 4126229</t>
  </si>
  <si>
    <t>jgiraldo@sdp.gov.co</t>
  </si>
  <si>
    <t>meet.google.com/hoh-osqb-xar</t>
  </si>
  <si>
    <t>Audiencia con el Alcalde Mayor, Mesa con Actores y Estrategia de Comunicaciones</t>
  </si>
  <si>
    <t>Conversatorio Nacional 1-2024 de Red de consejeros territoriales de planeación</t>
  </si>
  <si>
    <t>Consejo Territorial de Planeación Nacional</t>
  </si>
  <si>
    <t>Participar en el Conversatorio Nacional 1-2024 cuyo tema principal será la U.A.P.A Unidad Administrativa Especial de alimentación escolar, alimentos para aprender con la participación de toda la sociedad civil.</t>
  </si>
  <si>
    <t>Mecanismo de Diálogo</t>
  </si>
  <si>
    <t>Multiactor</t>
  </si>
  <si>
    <t>Zoilo Chaux Jaramillo</t>
  </si>
  <si>
    <t>ctpenaccioncolombia@gmail.com</t>
  </si>
  <si>
    <t>Enlace Youtube</t>
  </si>
  <si>
    <t>U.A.P.A Unidad Administrativa Especial de alimentación escolar, alimentos para aprender con la participación de toda la sociedad civil.</t>
  </si>
  <si>
    <t>Gestión: Reunión interinstitucional estrategia de participación PDD con NNA</t>
  </si>
  <si>
    <t xml:space="preserve">Identificar requerimientos técnicos y operativos para implementar Fase I sentires ciudadanos (sondeos) </t>
  </si>
  <si>
    <t>Secretaría Distrital de Integración Social /Katheryne González</t>
  </si>
  <si>
    <t>kgonzalezc@sdis.gov.co</t>
  </si>
  <si>
    <t>&lt;https://teams.microsoft.com/l/meetup-join/19%3ameeting_MTE4MWVkY2YtMTE1My00YTA1LTk5OTYtZjE0NjgyODMzMjZh%40thread.v2/0?context=%7b%22Tid%22%3a%22b3e30808-e9a8-4f2a-9bc1-a760ae910cf5%22%2c%22Oid%22%3a%22e4cb8b56-2512-41bb-908a-bf2d5c70786d%22%7d</t>
  </si>
  <si>
    <t>Reunión interinstitucional estrategia de participación PDD con NNA</t>
  </si>
  <si>
    <t/>
  </si>
  <si>
    <t>Presentación estrategia PDD - Comisión Intersectorial de Participación (CIP)</t>
  </si>
  <si>
    <t>CIP (Comisión Intersectorial de Participación)</t>
  </si>
  <si>
    <t>Presentar la estrategia de Participación para el Plan Distrital de Desarrollo en el marco de la Comisión Intersectorial de Participación.</t>
  </si>
  <si>
    <t>Mecanismo de Comunicación para la Participación</t>
  </si>
  <si>
    <t>Alcaldía Mayor de Bogotá</t>
  </si>
  <si>
    <t>Presentación de la estrategia de participación del PDD por parte del Jefe de la OPDC.</t>
  </si>
  <si>
    <t>Asamblea Acupasa</t>
  </si>
  <si>
    <t xml:space="preserve">Acompañar la sesión y aplicar el instrumento de Sondeos de la Fase I: Sentires ciudadanos </t>
  </si>
  <si>
    <t>Mecanismo de Consulta Ciudadana</t>
  </si>
  <si>
    <t>Valentina González Pontón</t>
  </si>
  <si>
    <t>Adriana Piraquive</t>
  </si>
  <si>
    <t>316 2247335</t>
  </si>
  <si>
    <t>adriana.piraquive@gobiernobogota.gov.co</t>
  </si>
  <si>
    <t>Pasquilla (Santa Barbara)</t>
  </si>
  <si>
    <t>Fase I: Sentires Ciudadanos</t>
  </si>
  <si>
    <t>Ruta de participación, aplicación de sondeos y sensibilización ambiental.</t>
  </si>
  <si>
    <t>Gestión: Estrategia con Grupos étnicos - SDG</t>
  </si>
  <si>
    <t>Gestionar con la Secretaría Distrital de Gobierno para la estrategia de participación para la formulación del Plan Distrital de Desarrollo con los Grupos Étnicos.</t>
  </si>
  <si>
    <t xml:space="preserve">Oficina Asesora de Planeación </t>
  </si>
  <si>
    <t xml:space="preserve">Secretaria Distrital de Gobierno </t>
  </si>
  <si>
    <t>Gestión interinstitucional SDG PDD con grupos étnicos.</t>
  </si>
  <si>
    <t>Presentación participación PDD y sondeos - Consejo de Participación</t>
  </si>
  <si>
    <t>Presentar la estrategia de participación para la formulación del PDD y aplicar los sondeos de sentires ciudadanos.</t>
  </si>
  <si>
    <t>Mónica Lyzeth Cantor</t>
  </si>
  <si>
    <t>Consejo Consultivo</t>
  </si>
  <si>
    <t>Alcaldía Mayor de Bogotá, Aulas Barulé Cra 8 N° 10-65</t>
  </si>
  <si>
    <t>Lenguaje de señas</t>
  </si>
  <si>
    <t>Contenidos adaptados</t>
  </si>
  <si>
    <t>Horarios Acordes</t>
  </si>
  <si>
    <t>Presentación de la estrategia de participación para la formulación del PDD.</t>
  </si>
  <si>
    <t>Sesión del Consejo de Planeación Local Chapinero - Articulación Sondeos referente Local de Ruralidad</t>
  </si>
  <si>
    <t>Realizar articulación con referente Local de Ruralidad de la Localidad de Chapinero para aplicar el instrumento de sondeos.</t>
  </si>
  <si>
    <t>CPL</t>
  </si>
  <si>
    <t>Diego Edilson Gomez</t>
  </si>
  <si>
    <t>310 5791980</t>
  </si>
  <si>
    <t>No registra</t>
  </si>
  <si>
    <t>Chapinero</t>
  </si>
  <si>
    <t>Cerros Orientales</t>
  </si>
  <si>
    <t xml:space="preserve">Alcaldía Local de Chapinero </t>
  </si>
  <si>
    <t xml:space="preserve">Ruta de Participación PDD, articulación para aplicación de sondeos en la ruralidad.  </t>
  </si>
  <si>
    <t xml:space="preserve"> Instalación Comité de Coordinación del PDD</t>
  </si>
  <si>
    <t>Instalar el Comité Distrital de Coordinación del Plan de Desarrollo Distrital.</t>
  </si>
  <si>
    <t>meet.google.com/hme-ckby-nni</t>
  </si>
  <si>
    <t>Instalación del Comité de Coordinación, siguientes fases y actividades en la metodologia de formulación del Plan de Desarrollo, como vamos respecto a la meta de la primera fase.</t>
  </si>
  <si>
    <t xml:space="preserve">Socialización Estrategia PDD - Comité Técnico Distrital de Discapacidad </t>
  </si>
  <si>
    <t>Socializar la estrategia de participación ciudadana para la formulación del PDD al Comité Técnico Distrital de Discapacidad</t>
  </si>
  <si>
    <t>Camilo Andrés Vásquez</t>
  </si>
  <si>
    <t>David Alonzo</t>
  </si>
  <si>
    <t>dalonzo@sdp.gov.co</t>
  </si>
  <si>
    <t>https://meet.google.com/srh-wbuz-adt</t>
  </si>
  <si>
    <t>Socialización de la estrategia de participación ciudadana para la formulación del PDD.</t>
  </si>
  <si>
    <t xml:space="preserve">Grupo Focal de Integración Regional - Taller Subregión Sur - Plan Distrital de Desarrollo </t>
  </si>
  <si>
    <t>Definir los aspectos a trabajar en el Plan Distrital de Desarrollo de la actual administración en lo correspondiente al componente regional.</t>
  </si>
  <si>
    <t>Paola Gomez</t>
  </si>
  <si>
    <t>314 4123790</t>
  </si>
  <si>
    <t>pgomezc@sdp.gov.co</t>
  </si>
  <si>
    <t>Cámara de Comercio de Bogotá, Sede Soacha. Carrera 7 # 11 – 83, Soacha</t>
  </si>
  <si>
    <t xml:space="preserve">Temas comunes del Plan de Desarrollo de cada municipio e identificación de problemáticas y potencialidades de la relación entre la subregión y Bogotá. </t>
  </si>
  <si>
    <t>Consultorio PDD - Sondeos Sentires Ciudadanos con servidores</t>
  </si>
  <si>
    <t>Aplicar el sondeo Sentires Ciudadanos a servidores y colaboradores.</t>
  </si>
  <si>
    <t xml:space="preserve">Kra 30 # 25 - 90 Edificio CAD Portería </t>
  </si>
  <si>
    <t>Accesibilidad Universal</t>
  </si>
  <si>
    <t>Invitación a participar en la formulación del PDD fase Sentires Ciudadanos.</t>
  </si>
  <si>
    <t xml:space="preserve">Grupo Focal de Integración Regional - Taller Subregión Occidente - Plan Distrital de Desarrollo </t>
  </si>
  <si>
    <t>Biblioparque Marqués de San Jorge. Carrera 16 #. 13-23, Funza.</t>
  </si>
  <si>
    <t xml:space="preserve">Grupo Focal de Integración Regional - Taller Subregión Norte - Plan Distrital de Desarrollo </t>
  </si>
  <si>
    <t>Universidad de la Sabana, Chía. Aula AD Portas 409.</t>
  </si>
  <si>
    <t xml:space="preserve">Temas comunes por subregión según el Plan de Desarrollo Local e identificación de problemáticas o potencialidades de la relación con Bogotá. </t>
  </si>
  <si>
    <t>Socialización Estrategia PDD - Sesión JAL Engativá</t>
  </si>
  <si>
    <t xml:space="preserve">Socializar la estrategia de participación para la formulación del PDD </t>
  </si>
  <si>
    <t>Olga Quintero</t>
  </si>
  <si>
    <t>lviscaya@sdp.gov.co</t>
  </si>
  <si>
    <t>Tabora</t>
  </si>
  <si>
    <t>Salitre</t>
  </si>
  <si>
    <t xml:space="preserve"> calle 71 No. 73A – 44</t>
  </si>
  <si>
    <t>Gestión: Curso CTPD</t>
  </si>
  <si>
    <t>Concretar los contenidos del curso dirigido al CTPD sobre el PDD</t>
  </si>
  <si>
    <t>Diego Alejandro Camacho</t>
  </si>
  <si>
    <t>Sady Casillas</t>
  </si>
  <si>
    <t>310 8846025</t>
  </si>
  <si>
    <t>scasilla@participacionbogota.gov.co</t>
  </si>
  <si>
    <t>Sede central IDPAC</t>
  </si>
  <si>
    <t>Componentes estratégicos de los dos módulos del curso del CTPD sobre PDD.</t>
  </si>
  <si>
    <t>Precisar los contenidos del módulo 1 del curso para el CTPD sobre PDD</t>
  </si>
  <si>
    <t>meet.google.com/zrb-mzrw-pem</t>
  </si>
  <si>
    <t>Contenidos del módulo 1 del curso del CTPD sobre PDD.</t>
  </si>
  <si>
    <t>Comité Coordinador Intersectorial de Participación PDD</t>
  </si>
  <si>
    <t>Reunión semanal comité coordinador intersectorial PDD</t>
  </si>
  <si>
    <t>https://meet.google.com/bde-vcfz-tik</t>
  </si>
  <si>
    <t>Reporte Final del Sondeo Sentires ciudadanos fase 1 PDD, Preparacion fase 2 por medio de Chatico, Lista blanca de colaboradores para Chatico, importancia de divulgacion de cronogramas de las Entidades.</t>
  </si>
  <si>
    <t>Reunión Federación de Juntas - PDD</t>
  </si>
  <si>
    <t>Presentar la estrategia de participación del PDD.</t>
  </si>
  <si>
    <t>https://meet.google.com/iih-ubgq-feb</t>
  </si>
  <si>
    <t>Pedagogía e información sobre qué es el PDD, cómo se formula y la ruta de la participación.</t>
  </si>
  <si>
    <t>Caminandole al Plan Distrital de Desarrollo: Preparación formativa de los consejeros y consejeras del CTPD - Módulo 1 - Jornada 1</t>
  </si>
  <si>
    <t>Fortaler los conceptos de planeación y desarrollo con los consejeros y consejeras del CTPD</t>
  </si>
  <si>
    <t>https://meet.google.com/tnt-ejsb-hoh</t>
  </si>
  <si>
    <t>Duración del curso para su certificación, Discusiones sobre el desarrollo y sobre la planeación para el desarrollo en Colombia; así mismo, visión de la ciudad y estratégica del PDD.</t>
  </si>
  <si>
    <t>Caminandole al Plan Distrital de Desarrollo: Preparación formativa de los consejeros y consejeras del CTPD - Módulo 1 - Jornada 2</t>
  </si>
  <si>
    <t>Fortalecer los conceptos de los consejeros y consejeras del CTPD sobre el desarrollo y la planeación</t>
  </si>
  <si>
    <t>Plan Distrital de Desarrollo, Formación participativa, Percepciones entorno a Bogotá.</t>
  </si>
  <si>
    <t>Audiencia - Ejercicios de Planeación Participativa del Sistema General de Regalías  2024-2027</t>
  </si>
  <si>
    <t>Sistema General de Regalías</t>
  </si>
  <si>
    <t>Socializar las iniciativas y/o proyectos de inversión susceptibles de ser financiados con las Asignaciones Directas y la Asignación para la Inversión Regional del Sistema General de Regalías que posteriormente serán incorporados en el Plan de Desarrollo Distrital en un capítulo de “Inversiones independiente con cargo al SGR”</t>
  </si>
  <si>
    <t>Paula Guerrero</t>
  </si>
  <si>
    <t>317 2143454</t>
  </si>
  <si>
    <t>pguerrero@sdp.gov.co</t>
  </si>
  <si>
    <t>Av. El Dorado #68d-35 -Cámara de comercio de Bogotá, Sede Salitre – Auditorio, Piso1</t>
  </si>
  <si>
    <t>Metodología priorización iniciativas, Sistema General de Regalias</t>
  </si>
  <si>
    <t>Concertar las actividades del módulo 2 del curso del CTPD sobre el PDD</t>
  </si>
  <si>
    <t>meet.google.com/bpv-cehg-wwa</t>
  </si>
  <si>
    <t>Contenidos del módulo 2 del curso para el CTPD.</t>
  </si>
  <si>
    <t>Mesa de trabajo Preparatoria en Concejo - Foro "Jóvenes Construyendo una Ciudad Sostenible"</t>
  </si>
  <si>
    <t>Acompañar la mesa de trabajo convocada por el HC Jesús Araque, para coordinar el acompañamiento desde la SDP al Foro  "Jóvenes Construyendo una Ciudad Sostenible" organizado por la YMCA Bogotá.</t>
  </si>
  <si>
    <t>Nicolás Esteban Flórez</t>
  </si>
  <si>
    <t>Concejo de Bogotá</t>
  </si>
  <si>
    <t>Jeannette Herrera</t>
  </si>
  <si>
    <t>311 8470950</t>
  </si>
  <si>
    <t>jpherreraconcejobogota.gov.co</t>
  </si>
  <si>
    <t>Concejo de Bogotá - Cl. 36 #28A-41 - Sala 2 Piso 4</t>
  </si>
  <si>
    <t>Propuesta Foro de Juventudes, metodología y bloques temáticos, Articulación de las Entidades para el Foro organizado por la YMCA, roles de las Entidades, estrategia de participación para la formulación del Plan Distrital de Desarrollo.</t>
  </si>
  <si>
    <t>Dirección de Asuntos Étnicos , SDG</t>
  </si>
  <si>
    <t>https://teams.microsoft.com/l/meetup-join/19%253ameeting_Y2M1OTI0YjctYTVhYy00YzIwLTliOTAtNjM0OWM0MDU4YWE1%2540thread.v2/0?context%3D%257b%2522Tid%2522%253a%252214de155f-e192-44da-994d-1913d8658372%2522%252c%2522Oid%2522%253a%25228c154e64-91aa-4adc-aec5-c44dffdd103d%2522%257d&amp;sa=D&amp;source=calendar&amp;usd=2&amp;usg=AOvVaw17EqF5cZLIcQDaU6N1ZBwM</t>
  </si>
  <si>
    <t>Caminandole al Plan Distrital de Desarrollo: Preparación formativa de los consejeros y consejeras del CTPD - Módulo 2 - Jornada 1</t>
  </si>
  <si>
    <t>Brindar herramientas a los consejeros y consejeras del CTPD para la formulación del concepto del PDD</t>
  </si>
  <si>
    <t>https://meet.google.com/dtu-mwvz-nyk</t>
  </si>
  <si>
    <t>Presentación a consejeros, ¿qué es un Plan de Desarrollo? su importancia, impacto en la ciudad, su formulación, fundamentos jurídicos, la  Visión de Ciudad y roles del CTPD ante el PDD 2024-2028.</t>
  </si>
  <si>
    <t>Gestión: Reunión Equipo OPDC</t>
  </si>
  <si>
    <t>Dar línea para las actividades propias de la Oficina de Participación y Diálogo de Ciudad.</t>
  </si>
  <si>
    <t>Fase 2 Sentires Ciudadanos Formulación del PDD</t>
  </si>
  <si>
    <t>Caminandole al Plan Distrital de Desarrollo: Preparación formativa de los consejeros y consejeras del CTPD - Módulo 2 - Jornada 2</t>
  </si>
  <si>
    <t>Establecer conocimientos básicos para que los consejeros y consejeras del CTPD aborden el PDD</t>
  </si>
  <si>
    <t>Sarah Lucia Triviño</t>
  </si>
  <si>
    <t>meet.google.com/msf-zkqa-wqq</t>
  </si>
  <si>
    <t>Capacitación hacia las y los Consejeros del CTPD,  visiones de la ciudad y objetivos del plan de desarrollo, fases de la estrategia de participación del PDD y el papel del CTPD.</t>
  </si>
  <si>
    <t>CLIP Sumapaz</t>
  </si>
  <si>
    <t>CLIP (Comisión Local Intersectorial de Participación)</t>
  </si>
  <si>
    <t xml:space="preserve">Acompañar la articulación de los esfuerzos institucionales de participación en la localidad de Sumapaz. </t>
  </si>
  <si>
    <t>Laura Sofia Morales</t>
  </si>
  <si>
    <t>Servidores públicos (local)</t>
  </si>
  <si>
    <t>Cristian Torres</t>
  </si>
  <si>
    <t>323 2073505</t>
  </si>
  <si>
    <t>Sumapaz</t>
  </si>
  <si>
    <t>https://teams.microsoft.com/l/meetup-join/19%3ameeting_NjExZmRiNWYtMjVmZS00NzBmLWI5NWMtNThkYTkyNGNmNWJk%40thread.v2/0?context=%7b%22Tid%22%3a%220f1156f1-406d-4123-99f0-a976b835b9b6%22%2c%22Oid%22%3a%224050f918-a0d6-4762-98be-b8386a732c2e%22%7d</t>
  </si>
  <si>
    <t>Programa Distrital de Estimulos, Invitación a los talleres del PDD, Presentación de la Política Pública de Participación.</t>
  </si>
  <si>
    <t>CLIP Ciudad Bolívar</t>
  </si>
  <si>
    <t xml:space="preserve">Acompañar la articulación entre instituciones de participación en la localidad de Ciudad Bolívar.  </t>
  </si>
  <si>
    <t>Luisa Pinzón</t>
  </si>
  <si>
    <t>lpinzon@participacionbogota.gov.co</t>
  </si>
  <si>
    <t>https://teams.microsoft.com/l/meetup-join/19%3ameeting_OGJjMGIyZjAtM2Q4YS00NzIyLWIyYTktMDQwNDA1MjBlZjBk%40thread.v2/0?context=%7b%22Tid%22%3a%220f1156f1-406d-4123-99f0-a976b835b9b6%22%2c%22Oid%22%3a%224050f918-a0d6-4762-98be-b8386a732c2e%22%7d</t>
  </si>
  <si>
    <t xml:space="preserve">Agenda estratégica Subred Sur, programa Distrital de estimulos y Política Pública de participación incidente. </t>
  </si>
  <si>
    <t>Instalación del CTPD</t>
  </si>
  <si>
    <t>Instalación del Consejo Territorial de Planeación Distrital (CTPD): designación y elección de la mesa directiva.</t>
  </si>
  <si>
    <t>Ana María Ulloa</t>
  </si>
  <si>
    <t>José Ignacio Albarracín</t>
  </si>
  <si>
    <t>Germán Ramón Jacome</t>
  </si>
  <si>
    <t>Johana Gamez y Humberto Díaz</t>
  </si>
  <si>
    <t>3125349806 y 3188799909</t>
  </si>
  <si>
    <t>jgamez@sdp.gov.co</t>
  </si>
  <si>
    <t>Cra. 8 #10-65 Auditorio Huitaca de la Alcaldía Mayor</t>
  </si>
  <si>
    <t xml:space="preserve">Instalación del Consejo Territorial de Planeación Distrital. </t>
  </si>
  <si>
    <t xml:space="preserve">Gestión y participación en Mesa Coordinadora del Consejo Consultivo de Mujeres-CCM </t>
  </si>
  <si>
    <t>Presentar propuesta de formulación Plan de Desarrollo Distrital al Consejo Consultivo de Mujeres de Bogotá-CCM</t>
  </si>
  <si>
    <t>Denis Helbert Morales Roa</t>
  </si>
  <si>
    <t>dmorales@sdmujer.gov.co</t>
  </si>
  <si>
    <t>Calle 43 No. 27-25</t>
  </si>
  <si>
    <t>Propuesta de fecha para Taller de II fase de formulación del PDD.</t>
  </si>
  <si>
    <t>Entrega de propuesta borrador PDD al CTPD</t>
  </si>
  <si>
    <t>DESPACHO</t>
  </si>
  <si>
    <t>Entregar el anteproyecto del Plan Distrital de Desarrollo "Bogotá Camina Segura" al Consejo Territorial de Planeación Distrital.</t>
  </si>
  <si>
    <t>Claudia Fernanda Pineda</t>
  </si>
  <si>
    <t>David Reinaldo Jojoa</t>
  </si>
  <si>
    <t>Jimmy Alejandro Osorio</t>
  </si>
  <si>
    <t>Auditorio Huitaca - Alcaldía Mayor de Bogotá</t>
  </si>
  <si>
    <t xml:space="preserve">Entrega del proyecto de Plan Distrital de Desarrollo al Consejo Territorial de Planeación Distrital. </t>
  </si>
  <si>
    <t>Foro de Participación Ciudadana - Apuestas estratégicas del PDD</t>
  </si>
  <si>
    <t>Promover espacios de pedagogía, diálogo y reflexión colectiva acerca de cada objetivo
estratégico del PDD, desde las perspectivas de distintos tipos de actores para la
identificación de sentires, experiencias e ideas comunes que ayuden a orientar la
formulación del PDD.</t>
  </si>
  <si>
    <t>Erika Lizeth Rueda</t>
  </si>
  <si>
    <t>Miguel Silva Moyano Secretario de Planeación</t>
  </si>
  <si>
    <t>msilvam@sdp.gov.co</t>
  </si>
  <si>
    <t>Fundación Universitaria Konrad Lorenz Carrera 9 Bis #62-43</t>
  </si>
  <si>
    <t>Objetivos del PDD, visión, apuestas, ruta de la participación, panel conversar es el Plan.</t>
  </si>
  <si>
    <t xml:space="preserve">Rendición de cuentas JAL San Cristóbal </t>
  </si>
  <si>
    <t>Acompañar institucionalmente la rendición de cuentas de la JAL.</t>
  </si>
  <si>
    <t>Juliet Natalia caspera</t>
  </si>
  <si>
    <t>San Cristóbal</t>
  </si>
  <si>
    <t>San Cristobal</t>
  </si>
  <si>
    <t xml:space="preserve">Alcaldia San Cristóbal </t>
  </si>
  <si>
    <t>Presentación de los resultados de la corporación en el año 2023, agradecimientos a los Ediles que hicieron parte de la JAL durante el 2023, y presentación de la nueva conformación para el año 2024.</t>
  </si>
  <si>
    <t>Gestión: Capacitación Intersectorial Fase II: Aspiraciones Comunes - Formulación PDD</t>
  </si>
  <si>
    <t>Socializar las generalidades de la formulación del PDD y fomentar la participación de los servidores públicos.</t>
  </si>
  <si>
    <t>Privado</t>
  </si>
  <si>
    <t>meet.google.com/vok-reov-jsx</t>
  </si>
  <si>
    <t>Abordaje de los resultados de la primera fase de la estrategia de participacion, generalidades y estrategias para la fase 2, uso de la herramienta "Chatico"</t>
  </si>
  <si>
    <t>Primer foro virtual con Servidores Públicos para la formulación del PDD - DASCD/SDP</t>
  </si>
  <si>
    <t>Raúl Cadena</t>
  </si>
  <si>
    <t>rcadena@serviciocivil.gov.co</t>
  </si>
  <si>
    <t>https://capacitacion.moodle.serviciocivil.gov.co/curso/2168</t>
  </si>
  <si>
    <t>Generalidades de la formulación del PDD y  participación de los servidores públicos.</t>
  </si>
  <si>
    <t>Gestión: Preparación Fase II con SDMujer al Consejo Consultivo de Mujeres</t>
  </si>
  <si>
    <t>Presentar a SDMujer la metodología que se tiene pensado implementar con el Consejo Consultivo de Mujeres-CCM para la Fase II "Aspiraciones Comunes" del Plan Distrital de Desarrollo.</t>
  </si>
  <si>
    <t>https://meet.google.com/prw-boza-ayv?authuser=0</t>
  </si>
  <si>
    <t>Taller de II fase de formulación del PDD.</t>
  </si>
  <si>
    <t>Sesión Red Institucional de Apoyo a las Veedurías Ciudadanas</t>
  </si>
  <si>
    <t>Acompañar el Seguimiento al Plan de acción</t>
  </si>
  <si>
    <t>Seguimiento a cada eje del  Plan de acción.</t>
  </si>
  <si>
    <t>Dialogo Ciudadano para la Construcción del PDD - UPL Suba Rincón</t>
  </si>
  <si>
    <t>Identificar las propuestas ciudadanas para la formulación del Plan de Desarrollo Distrital.</t>
  </si>
  <si>
    <t>Julio César Martínez</t>
  </si>
  <si>
    <t>Suba</t>
  </si>
  <si>
    <t>Noroccidente</t>
  </si>
  <si>
    <t>Suba Rincón</t>
  </si>
  <si>
    <t>Salón comunal barrio las Flores - Cra. 108a #140-45</t>
  </si>
  <si>
    <t>Fase II: Aspiraciones Comunes</t>
  </si>
  <si>
    <t xml:space="preserve">Objetivos, programas y soluciones de la propuesta del Plan de Desarrollo Distrital. </t>
  </si>
  <si>
    <t>Presentación de la estrategia de Participación del PDD al CCPH</t>
  </si>
  <si>
    <t>Presentar la estrategia de Participación del PDD al CCPH</t>
  </si>
  <si>
    <t>IDPAC</t>
  </si>
  <si>
    <t>IDPAC Instituto de la participación y acción comunal - Sede Principal</t>
  </si>
  <si>
    <t>Estrategia de Participación del PDD al CCPH</t>
  </si>
  <si>
    <t>Plenaria Ordinaria - CTPD</t>
  </si>
  <si>
    <t>Acompañar la elección de comisiones, conformación de la Mesa Directiva, reglamento interno y concepto PDD.</t>
  </si>
  <si>
    <t>Liliana Urrego</t>
  </si>
  <si>
    <t xml:space="preserve"> https://meet.google.com/nvi-bsrm-eda</t>
  </si>
  <si>
    <t>Declaratoria de Plenaria permanente para abordar las temáticas de la Instancia.</t>
  </si>
  <si>
    <t>Dialogo Ciudadano para la Construcción del PDD - UPL Restrepo</t>
  </si>
  <si>
    <t>James Fernando Núñez</t>
  </si>
  <si>
    <t>Hernán Darío Meléndez</t>
  </si>
  <si>
    <t>Antonio Nariño</t>
  </si>
  <si>
    <t>Rafael Uribe Uribe</t>
  </si>
  <si>
    <t>Centro Ampliado</t>
  </si>
  <si>
    <t>Restrepo</t>
  </si>
  <si>
    <t>Salón Comunal barrio La Fraguita - Carrera 25 Bis N° 3-71</t>
  </si>
  <si>
    <t>Dialogo Ciudadano para la Construcción del PDD - UPL Fontibón</t>
  </si>
  <si>
    <t>Nixon Sandoval Mateus</t>
  </si>
  <si>
    <t>Fontibón</t>
  </si>
  <si>
    <t xml:space="preserve">Colegio Costa Rica - Carrera 101 No 23 42 </t>
  </si>
  <si>
    <t>Diálogo Ciudadano Poblacional para la Construcción del PDD - Consejo Consultivo de Mujeres</t>
  </si>
  <si>
    <t>Apoyar a la SDMujer la identificación de propuestas del Consejo Consultivo de Mujeres de Bogotá -CCM en el marco del proceso de formulación del Plan Distrital de Desarrollo en su Fase II ( Aspiraciones Comunes).</t>
  </si>
  <si>
    <t>https://teams.microsoft.com/l/meetup-join/19%3ameeting_MjhiMDVlODQtMTAzOC00ZDM2LTk1MGEtNTMwNzY1NzM1MjRi%40thread.v2/0?context=%7b%22Tid%22%3a%2262014016-9db4-44c2-bf33-e4366b82fdaa%22%2c%22Oid%22%3a%2230a857c4-693b-4638-8455-ae5dc1affa32%22%7d</t>
  </si>
  <si>
    <t>Apoyar a la SDMujer en la identificación de propuestas del Consejo Consultivo de Mujeres de Bogotá -CCM en el marco del proceso de formulación del Plan Distrital de Desarrollo en su Fase II.</t>
  </si>
  <si>
    <t>Dialogo Ciudadano para la Construcción del PDD - UPL Usaquén</t>
  </si>
  <si>
    <t>Daniela Velasco Vega</t>
  </si>
  <si>
    <t>Usaquén</t>
  </si>
  <si>
    <t>Norte</t>
  </si>
  <si>
    <t>CODABAS. Carrera 7 # 180 - 75 (Módulo 2, piso 2)</t>
  </si>
  <si>
    <t>Socialización objetivos estratégicos del PDD; inclusión de percepciones ciudadanos y priorización de programas a través del canal Chatico.</t>
  </si>
  <si>
    <t>Segundo foro virtual con Servidores Públicos para la formulación del PDD - DASCD/SDP</t>
  </si>
  <si>
    <t>https://capacitacion.moodle.serviciocivil.gov.co/curso/2169</t>
  </si>
  <si>
    <t>Estrategia de participación ciudadana para la formulación del PDD.</t>
  </si>
  <si>
    <t>Dialogo Ciudadano para la Construcción del PDD - UPL Lucero</t>
  </si>
  <si>
    <t>Auditorio Manitas ubicado en la Cra 18 72B 70</t>
  </si>
  <si>
    <t>Plenaria CTPD</t>
  </si>
  <si>
    <t>Continuar con el orden del dia de la plenaria del 1 de marzo para la conformación de comisiones y elección de sus coordinadores</t>
  </si>
  <si>
    <t>presidentectpd2024@gmail.com</t>
  </si>
  <si>
    <t>meet.google.com/nso-knfe-qeg</t>
  </si>
  <si>
    <t>Conformación de las comisiones permanentes del CTPD</t>
  </si>
  <si>
    <t>Gestión: estrategia de discapacidad y diversidad</t>
  </si>
  <si>
    <t>Orientar la estrategia de participación de diversidad y discapacidad para el PDD</t>
  </si>
  <si>
    <t>Marcial Ortega</t>
  </si>
  <si>
    <t>Mortega@sdp.gov.co</t>
  </si>
  <si>
    <t>Google meet</t>
  </si>
  <si>
    <t>Estrategia de participación diferencial para la formulación del PDD.</t>
  </si>
  <si>
    <t>Conversatorio "¿Por qué se necesita el Plan de Desarrollo pa' arreglar el hueco de la esquina?"</t>
  </si>
  <si>
    <t>Acompañar el diálogo con el Secretario de Planeación, Miguel Silva, organizado por Combo 2600 para informar sobre el Plan de Desarrollo Distrital.</t>
  </si>
  <si>
    <t>Iris Pub Quinta Camacho - Carrera 10A #70-48</t>
  </si>
  <si>
    <t>Importancia del Plan Distrital de Desarrollo.</t>
  </si>
  <si>
    <t>Gestión: Coordinación de acciones - Sistema General de Regalias.</t>
  </si>
  <si>
    <t>Coordinar acciones en el marco del Sistema General de Regalias.</t>
  </si>
  <si>
    <t>Paula Andrea Guerrero</t>
  </si>
  <si>
    <t xml:space="preserve">meet.google.com/vyh-mvwx-shi </t>
  </si>
  <si>
    <t>Propuestas en el marco de la participación del equipo de regalías en los Diálogos Ciudadanos por UPL.</t>
  </si>
  <si>
    <t>Gestión: Metodología Poblacional - diferencial y de género.</t>
  </si>
  <si>
    <t>Definir con la Dirección de Diversidad Sexual, Poblaciones y Géneros (SDP) los lineamientos metodológicos para las estrategias Poblacional-diferencial y de género.</t>
  </si>
  <si>
    <t>https://meet.google.com/ytq-gwpp-ysk</t>
  </si>
  <si>
    <t>Metodología Poblacional - diferencial y de género para el PDD.</t>
  </si>
  <si>
    <t>Tercer foro virtual con Servidores Públicos para la formulación del PDD - DASCD/SDP</t>
  </si>
  <si>
    <t>https://capacitacion.moodle.serviciocivil.gov.co/curso/2170</t>
  </si>
  <si>
    <t>CLIP Rafael Uribe Uribe</t>
  </si>
  <si>
    <t>Acompañar la articulación entre instituciones de participación en la localidad de Rafael Uribe Uribe.</t>
  </si>
  <si>
    <t>Disney Sánchez</t>
  </si>
  <si>
    <t>319 2043484</t>
  </si>
  <si>
    <t>Rafael Uribe</t>
  </si>
  <si>
    <t>http://teams.microsoft.com/</t>
  </si>
  <si>
    <t>Socialización de la segunda fase de Estrategia para la formulación PDD.</t>
  </si>
  <si>
    <t>Dialogo Ciudadano para la Construcción del PDD - UPL Bosa</t>
  </si>
  <si>
    <t>César Augusto Barrantes</t>
  </si>
  <si>
    <t>Bosa</t>
  </si>
  <si>
    <t>Kennedy</t>
  </si>
  <si>
    <t>Suroccidente</t>
  </si>
  <si>
    <t>Salón Comunal Barrio Antonia Santos -  Calle 65 sur #81f - 06</t>
  </si>
  <si>
    <t>Gestión: Revisión Metas Consejo Distrital de Juventud - PDD - SDIS</t>
  </si>
  <si>
    <t>Acompañar la articulación con la Secretaría Distrital de Integración Social para revisar las metas propuestas por el Consejo Distrital de Juventud.</t>
  </si>
  <si>
    <t>Secretaría Distrital de Integración Social - Carrera 7#32-28 Piso 22</t>
  </si>
  <si>
    <t>Armonización de las propuestas del Consejo Distrital de Juventud para el Plan Distrital de Desarrollo con el Sector Integración Social.</t>
  </si>
  <si>
    <t>meet.google.com/oio-bbxn-zfn</t>
  </si>
  <si>
    <t>Cronograma de actividades segunda fase PDD, estrategia de generación de aportes al PDD en terrotorio.</t>
  </si>
  <si>
    <t>CLIP La Candelaria</t>
  </si>
  <si>
    <t>Acompañar la articulación de los esfuerzos institucionales de participación en la localidad de La Candelaria</t>
  </si>
  <si>
    <t>Diana Mutis</t>
  </si>
  <si>
    <t>310 2079889</t>
  </si>
  <si>
    <t>dmutiz@participacionbogota.gov.co</t>
  </si>
  <si>
    <t>La Candelaria</t>
  </si>
  <si>
    <t>Centro Histórico</t>
  </si>
  <si>
    <t>Carrera 7 # 22 - 44 (Dirección de Educación Local de La Candelaria y Santa Fe)</t>
  </si>
  <si>
    <t>Agenda actividades participativas del mes de Abril, chatico y PDD.</t>
  </si>
  <si>
    <t>Cuarto foro virtual con Servidores Públicos para la formulación del PDD - DASCD/SDP</t>
  </si>
  <si>
    <t>https://capacitacion.moodle.serviciocivil.gov.co/curso/2171</t>
  </si>
  <si>
    <t>Socialización de las generalidades del PDD y la estrategia de participación ciudadana.</t>
  </si>
  <si>
    <t>Socialización estrategia PDD - Consejo Distrital de Sabios y Sabias</t>
  </si>
  <si>
    <t>Presentar al Consejo Distrital de Sabios y Sabias la estrategia de participación para la formulación del PDD</t>
  </si>
  <si>
    <t>Bárbara Parra Ortíz</t>
  </si>
  <si>
    <t>310 3297018</t>
  </si>
  <si>
    <t>Calle 32 # 16 87</t>
  </si>
  <si>
    <t>Estrategia de participación fase 2 para la formulación del PDD.</t>
  </si>
  <si>
    <t>Gestión: Socialización a colaboradores SDP de Generalidades de la Fase II Aspiraciones Comunes</t>
  </si>
  <si>
    <t>Socializar la metodología de participación de la fase II Aspiraciones Comunes para la elaboración del PDD, a los colaboradores de la SDP</t>
  </si>
  <si>
    <t>https://meet.google.com/fbu-weaq-eor</t>
  </si>
  <si>
    <t>Presentación estrategia participación PDD y delegación UPL</t>
  </si>
  <si>
    <t>Gestión: Estrategia de participación con Secretaría Distrital de Gobierno.</t>
  </si>
  <si>
    <t>Orientar a la Secretaría Distrital de Gobierno en la fase 2 de al estrategia de participación de  formulación del PDD.</t>
  </si>
  <si>
    <t>David Romero</t>
  </si>
  <si>
    <t>David.Romeroz@gobiernobogota.gov.co</t>
  </si>
  <si>
    <t>https://teams.microsoft.com/l/meetup-join/19%3ameeting_ODdiYmE4YjktOWM3ZS00NDVjLTk5MjQtM2ViY2YzZWY2OTBk%40thread.v2/0?context=%7b%22Tid%22%3a%2214de155f-e192-44da-994d-1913d8658372%22%2c%22Oid%22%3a%223c5201d6-5585-4bfa-bce9-d631979e3445%22%7d</t>
  </si>
  <si>
    <t>Estrategia de participación para la Fase 2 de formulación del PDD. Estrategia con grupos étnicos.</t>
  </si>
  <si>
    <t>Reunión de aclaración - Vacancias Víctimas CTPD</t>
  </si>
  <si>
    <t>Responder inquietudes sobre las curules de víctimas dentro del CTPD.</t>
  </si>
  <si>
    <t>Rodrigo Garzon Grisales</t>
  </si>
  <si>
    <t>300 6871406</t>
  </si>
  <si>
    <t>rgarzon@sdp.gov.co</t>
  </si>
  <si>
    <t>Alcaldía Mayor - Alta Consejería para las Víctimas</t>
  </si>
  <si>
    <t>Vacancias de organizaciones de víctimas en el CTPD.</t>
  </si>
  <si>
    <t>CLIP San Cristóbal</t>
  </si>
  <si>
    <t>Acompañar la articulación de los esfuerzos institucionales de participación en la localidad de San Cristóbal.</t>
  </si>
  <si>
    <t>Reina Esperanza Cordero Vargas</t>
  </si>
  <si>
    <t>rcordero@participacionbogota.gov.co</t>
  </si>
  <si>
    <t xml:space="preserve">Auditorio Alcaldía de San Cristóbal </t>
  </si>
  <si>
    <t>Fases que se tienen previstas para los Encuentros Ciudadanos del Plan de Desarrollo Local.</t>
  </si>
  <si>
    <t>CLIP Usaquén</t>
  </si>
  <si>
    <t>Acompañar la articulación de los esfuerzos institucionales de participación en la localidad de Usaquén.</t>
  </si>
  <si>
    <t>Aleyda Guzmán</t>
  </si>
  <si>
    <t>lguzman@participacionbogota.gov.co</t>
  </si>
  <si>
    <t>Toberín</t>
  </si>
  <si>
    <t>Torca</t>
  </si>
  <si>
    <t>https://teams.microsoft.com/l/meetup-join/19%3ameeting_NGUyZmYyZTUtNmEyNS00MWQwLTg4OTgtYTNhNjI0YzhlNmMy%40thread.v2/0?context=%7b%22Tid%22%3a%220f1156f1-406d-4123-99f0-a976b835b9b6%22%2c%22Oid%22%3a%22238f0383-76da-46d4-a513-6126e5b28292%22%7d</t>
  </si>
  <si>
    <t>Estrategia de redes del cuidado (SDIS),  Diagnóstico de la localidad (IDPAC) , actulización de la agenda de instancias.</t>
  </si>
  <si>
    <t>Coordinación proceso de participación - ASOBARES</t>
  </si>
  <si>
    <t>Presentar la estrategia de participación del PDD y establecer sinergia con la organización.</t>
  </si>
  <si>
    <t>Asociación</t>
  </si>
  <si>
    <t>Asobares</t>
  </si>
  <si>
    <t>presidencia@asobares.org</t>
  </si>
  <si>
    <t>Secretaría Distrital de Planeación</t>
  </si>
  <si>
    <t>Sinergia entre la organización y el proceso de participación del PDD.</t>
  </si>
  <si>
    <t>Dialogo Ciudadano para la Construcción del PDD - UPL Centro Histórico</t>
  </si>
  <si>
    <t>Juan Pablo Serna</t>
  </si>
  <si>
    <t>Carlos Eduardo Escandón</t>
  </si>
  <si>
    <t>Santa Fe</t>
  </si>
  <si>
    <t>Los Mártires</t>
  </si>
  <si>
    <t>Salón comunal del barrio la Perseverancia – Carrera 4 Bis A No 32-64</t>
  </si>
  <si>
    <t>Gestión: Articulación SDP - SDG sobre la estrategia de participación de grupos étnicos en el PDD</t>
  </si>
  <si>
    <t>Articular institucionalmente las acciones a desarrollar por la Secretaría de Gobierno y la Secretaría de Planeación con los grupos étnicos en el marco de la formulación del Plan Distrital de Desarrollo.</t>
  </si>
  <si>
    <t>Mariana Botero</t>
  </si>
  <si>
    <t>mbotero@sdp.gov.co</t>
  </si>
  <si>
    <t xml:space="preserve">Secretaría de Planeación. Carrera 30 #25-90. </t>
  </si>
  <si>
    <t>Estrategia de participación distrital del PDD, transversalizacion de enfoques para el desarrollo con los grupos étnicos.</t>
  </si>
  <si>
    <t>Plenaria Permanente - CTPD</t>
  </si>
  <si>
    <t>Elección de cargos en las Comisiones del CTPD.</t>
  </si>
  <si>
    <t>jfunlaun@gmail.com</t>
  </si>
  <si>
    <t xml:space="preserve"> https://meet.google.com/usk-fybt-jqw</t>
  </si>
  <si>
    <t>Elección de cargos en las Comisiónes del CTPD.</t>
  </si>
  <si>
    <t>Reunión de coordinación - ACODRES</t>
  </si>
  <si>
    <t>Generar proceso de articulación con el gremio para garantizar su participación en el PDD.</t>
  </si>
  <si>
    <t>Gremio</t>
  </si>
  <si>
    <t>presidencia@acodres.com.co</t>
  </si>
  <si>
    <t>meet.google.com/bxj-xede-hem</t>
  </si>
  <si>
    <t>Estrategia de participación del PDD.</t>
  </si>
  <si>
    <t>Diálogo Ciudadano Poblacional para la Construcción del PDD - Discapacidad se articula para Caminar Segura por Bogotá</t>
  </si>
  <si>
    <t>GENERAL SDP</t>
  </si>
  <si>
    <t>Recibir las Propuestas al Plan de Desarrollo de Bogotá con Enfoque de Discapacidad - Reflexiones de Aceptación Universal en el Marco del Desarrollo Tecnológico y de Sistemas.</t>
  </si>
  <si>
    <t>Dick Darío Díaz Melendez</t>
  </si>
  <si>
    <t>prodickscapacidad@gmail.com</t>
  </si>
  <si>
    <t xml:space="preserve">Carrera 10 No 19 - 62 - Universidad ECCI </t>
  </si>
  <si>
    <t>Plan Distrital de Desarrollo con Enfoque a la Población con Discapacidad.</t>
  </si>
  <si>
    <t>Dialogo Ciudadano para la Construcción del PDD - UPL Niza</t>
  </si>
  <si>
    <t>Mario Calderon</t>
  </si>
  <si>
    <t>macalderonv@educacionbogota.edu.co</t>
  </si>
  <si>
    <t>Niza</t>
  </si>
  <si>
    <t>Cl. 129 #55-55</t>
  </si>
  <si>
    <t xml:space="preserve"> Obtetivos, programas y soluciones en el marco de la formulación del Plan Distrital de Desarrollo (PDD)</t>
  </si>
  <si>
    <t>Dialogo Ciudadano para la Construcción del PDD - UPL Tabora</t>
  </si>
  <si>
    <t>Natalia Zarate</t>
  </si>
  <si>
    <t>natalia.zarate@gobiernobogota.gov.co</t>
  </si>
  <si>
    <t>Alcaldía Local de Engativá - Salón Azul . Cl. 71 #73a-44</t>
  </si>
  <si>
    <t>Objetivos, programas y soluciones del PDD.</t>
  </si>
  <si>
    <t>Jornada Pégate al Plan: Pedagogía ciudadana para el manejo e implementación de la herramienta chatico - Ciclovía - Parque de Lourdes</t>
  </si>
  <si>
    <t>Parque de los Hippies Calle 60, Cra. 7</t>
  </si>
  <si>
    <t>Pedagogía Plan Distrital de Desarrollo a Servidores SDP</t>
  </si>
  <si>
    <t>Dar a conocer a los funcionarios SDP el proyecto del Plan Distrital de Desarrollo 2024-2028, con el cual estamos construyendo, de la mano de la ciudadanía, una mejor ciudad.</t>
  </si>
  <si>
    <t>Laura Camila Bechara</t>
  </si>
  <si>
    <t>Diego Nicolás Gutiérrez</t>
  </si>
  <si>
    <t>Plan Distrital de Desarrollo, objetivos y programas.</t>
  </si>
  <si>
    <t>Gestión: Metodologías de Niños, niñas y Adolescentes con SED</t>
  </si>
  <si>
    <t>Definir las metodologías de diálogos con niños, niñas y Adolescentes con la Secretaría de Educación del Distrito.</t>
  </si>
  <si>
    <t>Carlos Iván García</t>
  </si>
  <si>
    <t>Carlos.garcia@educacionbogota.gov.co</t>
  </si>
  <si>
    <t>Estrategia diferencial de niños, niñas y adolescentes para formular el PDD.</t>
  </si>
  <si>
    <t>Gestión: Construcción de la metodología del proceso PDD con grupos étnicos</t>
  </si>
  <si>
    <t xml:space="preserve">Construir en conjunto con la Dirección de Asuntos Étnicos la metodología de los diálogos a desarrollar con las instancias consultivas de los grupos étnicos que hacen vida en Bogotá, en el marco de la formulación del Plan Distrital de Desarrollo. </t>
  </si>
  <si>
    <t>David Cortes</t>
  </si>
  <si>
    <t>david.araujo@gobiernobogota.gov.co</t>
  </si>
  <si>
    <t>Crr 8 #10-71. Secretaría de Gobierno</t>
  </si>
  <si>
    <t>Productos de Políticas Públicas Étnicas con los programas del PDD,construcción de la metodología de participación para la formulación del PDD.</t>
  </si>
  <si>
    <t>CLIP extraordinaria Rafael Uribe Uribe</t>
  </si>
  <si>
    <t>Acompañar la articulación de los esfuerzos institucionales de participación en la localidad de Rafael Uribe Uribe, Definir el cronograma de actividades de Pegate al Plan.</t>
  </si>
  <si>
    <t>Disney Sanchez</t>
  </si>
  <si>
    <t>Calle 32 sur 23 62</t>
  </si>
  <si>
    <t>Programación talleres locales para ala formulación  del Plan de Desarollo.</t>
  </si>
  <si>
    <t>Reunión de seguimiento al proceso de participación PDD - Veeduría Distrital</t>
  </si>
  <si>
    <t>Acompañar el seguimiento por parte de la Veeduría del proceso de participación del PDD.</t>
  </si>
  <si>
    <t>Dionne Cruz</t>
  </si>
  <si>
    <t>Veeduría Distrital</t>
  </si>
  <si>
    <t>Seguimiento de las acciones de participación previstas en la estrategia del PDD por parte de la Veeduría.</t>
  </si>
  <si>
    <t>Socialización de PDD a la Mesa Distrital de Víctimas del Conflicto Armado</t>
  </si>
  <si>
    <t xml:space="preserve">Socializar Plan de Desarrollo Distrital y la estrategia de participación con la Mesa Distrital de Participación Efectiva para Víctimas del Conflicto. </t>
  </si>
  <si>
    <t>Paola Andrea González</t>
  </si>
  <si>
    <t>Grupos focales</t>
  </si>
  <si>
    <t xml:space="preserve">Calle 16 #9-15 segundo piso </t>
  </si>
  <si>
    <t xml:space="preserve">Socialización del PDD, estrategia de participación, uso de chatico, propuestas y recursos. </t>
  </si>
  <si>
    <t>Gestión: Capacitación Chatico - Transmilenio</t>
  </si>
  <si>
    <t>Capacitar a los funcionarios de Transmilenio sobre el uso de Chatico para la recepción de aportes para el PDD.</t>
  </si>
  <si>
    <t>Cra. 26 # 30 - CAD</t>
  </si>
  <si>
    <t>Metodología de la fase II de formulación del PDD, y uso de Chatico.</t>
  </si>
  <si>
    <t>Dialogo Ciudadano para la Construcción del PDD - UPL Tunjuelito</t>
  </si>
  <si>
    <t>Tunjuelito</t>
  </si>
  <si>
    <t>Auditorio principal, Casa de la cultura de Tunjuelito - Diagonal 52F sur #27-21</t>
  </si>
  <si>
    <t>Obtetivos, programas y soluciones en el marco de la formulación del Plan Distrital de Desarrollo (PDD), trabajo y educación para el empleo, mantenimiento malla vial, Salud en territorio.</t>
  </si>
  <si>
    <t>Acompañar la continuidad del orden del día aprobado: Conformación de la mesa Directiva y Reglamento Interno.</t>
  </si>
  <si>
    <t>https://meet.google.com/jay-odjm-uib</t>
  </si>
  <si>
    <t>Conformación de la Mesa Directiva del CTPD, Reglamento Interno</t>
  </si>
  <si>
    <t>Gestión: Articulación con Secretaria de Salud - PDD</t>
  </si>
  <si>
    <t>Abordar y resolver las inquietudes metodológicas surgidas para la fase II del PDD.</t>
  </si>
  <si>
    <t>Luis Antonio</t>
  </si>
  <si>
    <t>311 2009548</t>
  </si>
  <si>
    <t>laestupinan@saludcapital.gov.co</t>
  </si>
  <si>
    <t>https://meet.google.com/mtr-aqzg-bdw?authuser=0&amp;hs=122&amp;ijlm=1710183836832</t>
  </si>
  <si>
    <t>Metodologia PDD y Cronogramas.</t>
  </si>
  <si>
    <t>CLIP Engativá</t>
  </si>
  <si>
    <t>Acompañar la articulación de los esfuerzos institucionales de participación en la localidad de Engativá.</t>
  </si>
  <si>
    <t>Esperanza Daza</t>
  </si>
  <si>
    <t>edaza@participacionbogota.gov.co</t>
  </si>
  <si>
    <t>Calle 71 # 73a - 44</t>
  </si>
  <si>
    <t>Aprobación actas sesiones CLIP febrero, Presentación CLIP naturaleza y funciones (Dec. 606-202) ,capacitación agentes educativos ICBF, Manejo de violencia intrafamiliar</t>
  </si>
  <si>
    <t>Dialogo Ciudadano para la Construcción del PDD - UPL Patio Bonito</t>
  </si>
  <si>
    <t>Nicolás Enrique Moncaleano</t>
  </si>
  <si>
    <t>Patio Bonito</t>
  </si>
  <si>
    <t>Salón Comunal de Patio Bonito - Segundo Sector Cl. 2 N° 87-15</t>
  </si>
  <si>
    <t>Obtetivos, programas y soluciones en el marco de la formulación del Plan Distrital de Desarrollo (PDD)</t>
  </si>
  <si>
    <t>Presentación metodología para los talleres de diálogos ciudadanos PDD - JAL Sumapaz</t>
  </si>
  <si>
    <t>Realizar articulación de actores para definir los espacios en la Localidad de Sumapaz.</t>
  </si>
  <si>
    <t>Yenny Pulido</t>
  </si>
  <si>
    <t>320 2149489</t>
  </si>
  <si>
    <t>lised_2905e@hotmail.com</t>
  </si>
  <si>
    <t>Por definir</t>
  </si>
  <si>
    <t xml:space="preserve">Plan Distrital de Desarrollo </t>
  </si>
  <si>
    <t>Acompañar la definición de la metodología de evaluación del PDD.</t>
  </si>
  <si>
    <t xml:space="preserve"> https://meet.google.com/jay-odjm-uib</t>
  </si>
  <si>
    <t>Metodología para elaborar el concepto del Plan Dsitrital de Desarrollo.</t>
  </si>
  <si>
    <t>Compartir los avances entre las entidades en la aplicación de la segunda fase del PDD</t>
  </si>
  <si>
    <t>https://meet.google.com/bfq-tbmf-uxc</t>
  </si>
  <si>
    <t>Encuentro con Padrinasgos, avance en el desarrollo de metodologias, cronogramas</t>
  </si>
  <si>
    <t>CLIP Antonio Nariño</t>
  </si>
  <si>
    <t>Acompañar la articulación de los esfuerzos institucionales de participación en la localidad de Antonio Nariño.</t>
  </si>
  <si>
    <t>Alvaro</t>
  </si>
  <si>
    <t>300 2578468</t>
  </si>
  <si>
    <t>Alcaldía Antonio Nariño (Calle 17 Sur # 18 - 49)</t>
  </si>
  <si>
    <t>Eventos de participación mes Abril</t>
  </si>
  <si>
    <t>CLIP Teusaquillo</t>
  </si>
  <si>
    <t>Acompañar la articulación de los esfuerzos institucionales de participación en la localidad de Teusaquillo.</t>
  </si>
  <si>
    <t>Jose Pedraza</t>
  </si>
  <si>
    <t>Hpedraza@participacionbogota.gov.co</t>
  </si>
  <si>
    <t>Teusaquillo</t>
  </si>
  <si>
    <t>Tv 19 bis # 38 - 41</t>
  </si>
  <si>
    <t>Plan de acción 2024 CLIP, presentación empresa Metro , articulación  CPL Teusaquillo</t>
  </si>
  <si>
    <t>CLIP Usme</t>
  </si>
  <si>
    <t>Acompañar la articulación de los esfuerzos institucionales de participación en la localidad de Usme.</t>
  </si>
  <si>
    <t>Usme</t>
  </si>
  <si>
    <t>Usme Entrenubes</t>
  </si>
  <si>
    <t>CDC USME</t>
  </si>
  <si>
    <t xml:space="preserve">Encuentros ciudadanos por parte del CPl , Reglamento interno de la instancia de participación CLIP, (funciones y roles) </t>
  </si>
  <si>
    <t>Quinto foro virtual con Servidores Públicos para la formulación del PDD - DASCD/SDP</t>
  </si>
  <si>
    <t>https://meet.google.com/sgv-jhtc-jzv</t>
  </si>
  <si>
    <t>Generalidades de la formulación del PDD,  participación de los servidores públicos.</t>
  </si>
  <si>
    <t>Gestión: Concertación con la Consultiva negra - afrocolombiana de la metodología de participación del PDD</t>
  </si>
  <si>
    <t>Concertar la metodología de recolección de aportes para la Fase II de la estrategia de participación del PDD con la consultiva de la comunidad negra-afrocolombiana.</t>
  </si>
  <si>
    <t>Calle 8 #9-64. Casa Afro</t>
  </si>
  <si>
    <t>Socialización del PDD,Definición de la metodología a desarrollar para la recolección de aportes de la comunidad Negra-afrocolombiana en la formulación del PDD</t>
  </si>
  <si>
    <t>Gestión: Revisión de instrumento y articulación -  Dirección de Estratificación</t>
  </si>
  <si>
    <t xml:space="preserve">Articular con la Dirección de Estratificación para revisar las metas definidas, metodología, acompañamiento e instrumento. </t>
  </si>
  <si>
    <t>Secretaría Distrital de Planeación Piso 13</t>
  </si>
  <si>
    <t>Metodología historica de la estratificación y sus avances, método de medición, propuesta de participación y/o comunicación</t>
  </si>
  <si>
    <t>Dialogo Ciudadano para la Construcción del PDD - UPL Barrios Unidos</t>
  </si>
  <si>
    <t>Barrios Unidos</t>
  </si>
  <si>
    <t>Auditorio Alcaldía Local de Barrios Unidos - Calle 74A N° 66-07</t>
  </si>
  <si>
    <t xml:space="preserve">Obtetivos, programas y soluciones en el marco de la formulación del Plan Distrital de Desarrollo </t>
  </si>
  <si>
    <t>Comisión Poblacional</t>
  </si>
  <si>
    <t>Reunión consolidación documento para el concepto técnico del PDD</t>
  </si>
  <si>
    <t>Jaqueline Hernández</t>
  </si>
  <si>
    <t>stellaher611@gmail.com</t>
  </si>
  <si>
    <t>https://meet.google.com/ajy-tors-cso</t>
  </si>
  <si>
    <t>Consolidación del documento para el concepto técnico del PDD</t>
  </si>
  <si>
    <t>CLIP extraordinaria San Cristóbal</t>
  </si>
  <si>
    <t>Reina Esperanza</t>
  </si>
  <si>
    <t>Meet</t>
  </si>
  <si>
    <t xml:space="preserve">Metodología por parte del CPL de encuentros ciudadanos para Plan de Desarrollo Local </t>
  </si>
  <si>
    <t>CLIP Bosa</t>
  </si>
  <si>
    <t>Acompañar la articulación de los esfuerzos institucionales de participación en la localidad de Bosa.</t>
  </si>
  <si>
    <t>Marcela Tinoco depablos</t>
  </si>
  <si>
    <t>313 2133446</t>
  </si>
  <si>
    <t>mtinoco@participacionbogota.gov.co</t>
  </si>
  <si>
    <t>Edén</t>
  </si>
  <si>
    <t>Porvenir</t>
  </si>
  <si>
    <t>Casa de la participación - Sala #1</t>
  </si>
  <si>
    <t>Aprobación acta anterior, Encuentros ciudadanos Alcaldía Local, Política Pública Participación en Salud,Resolución 984 de 2023,Estímulos 2024, Chatico</t>
  </si>
  <si>
    <t>https://teams.microsoft.com/l/meetup-join/19:meeting_MTlkNTg4N2MtMjBjZi00YTRlLTkxOGUtZTBmMzg2MDkyMjg3@thread.v2/0?context=%7B%22Tid%22:%220f1156f1-406d-4123-99f0-a976b835b9b6%22,%22Oid%22:%22430bc0ff-ce83-4fe8-b1ae-8552f898fc40%22%7D</t>
  </si>
  <si>
    <t>Plan de Acción de la CLIP , Actividades de participación para el PDD</t>
  </si>
  <si>
    <t>Jornada Pégate al Plan: Pedagogía ciudadana para el manejo e implementación de la herramienta chatico - STARTCO</t>
  </si>
  <si>
    <t xml:space="preserve">Aplicar instrumento de fase II a través de chatico a patrocinadores, emprendedores, inversionistas, pymes. </t>
  </si>
  <si>
    <t>Juan Gabriel Arboleda</t>
  </si>
  <si>
    <t>jgabriel@starter.com.co</t>
  </si>
  <si>
    <t>Carrera 37 No 24 - 67</t>
  </si>
  <si>
    <t>Priorizacion desde  Chatico la construcción  el PDD</t>
  </si>
  <si>
    <t>Gestión: Capacitación Metodología de Participación - Servidores SDP</t>
  </si>
  <si>
    <t>Capacitar a servidores de la SDP en la estrategia de Participación para formular el PDD y en el manejo de Chatico.</t>
  </si>
  <si>
    <t>Auditorio SDP</t>
  </si>
  <si>
    <t>Estrategia de participación para la formulación del PDD.  Uso del ChatBot Chatico</t>
  </si>
  <si>
    <t>Gestión: Concertación con la Consultiva Indígena de la metodología de participación del PDD</t>
  </si>
  <si>
    <t>Concertar con la Consultiva Indígena la metodología de participación en el proceso de recolección de aportes de la II Fase del Plan Distrital de Desarrollo correspondiente a "Aspiraciones Comunes".</t>
  </si>
  <si>
    <t>Calle 9 #9-60. Casa Indígena</t>
  </si>
  <si>
    <t xml:space="preserve">Estrategia participación PDD , Nueva fecha para el abordaje de la metodología </t>
  </si>
  <si>
    <t>Gestión: Capacitación estrategia de participación Fase II PDD con IDPAC</t>
  </si>
  <si>
    <t>Capacitar al equipo del IDPAC sobre las generalidades del PDD, estrategia de participación y Chatico</t>
  </si>
  <si>
    <t>Estrategia de participación PDD, Chatico y contenidos PDD</t>
  </si>
  <si>
    <t>Gestión: Concertación con la Consultiva Raizal de la metodología de participación del PDD</t>
  </si>
  <si>
    <t>Concertar con la Consultiva Raizal la metodología de participación en el proceso de recolección de aportes de la II Fase del Plan Distrital de Desarrollo correspondiente a "Aspiraciones Comunes".</t>
  </si>
  <si>
    <t>Socialización de la estructura general del PDD. acuerdo sobre la metodología de participación para la recolección de propuestas de la comunidad raizal</t>
  </si>
  <si>
    <t>Dialogo Ciudadano para la Construcción del PDD - UPL Engativá</t>
  </si>
  <si>
    <t>Arley Peña</t>
  </si>
  <si>
    <t>Salón Comunal Barrio Alameda Piso 2  - Calle 64D 105 - 44</t>
  </si>
  <si>
    <t>Comisión de Participación Ordinaria - CTPD</t>
  </si>
  <si>
    <t>Acompañar la realización de la primer  sesión de la Comisíón de Participación del CTPD.</t>
  </si>
  <si>
    <t>Dick Darío Diaz Melendez</t>
  </si>
  <si>
    <t>ctpdcomisiondeparticipacion@gmail.com</t>
  </si>
  <si>
    <t>https://meet.google.com/uca-qrxr-hwn</t>
  </si>
  <si>
    <t>Plan Distrital de Desarollo</t>
  </si>
  <si>
    <t>Sexto foro virtual con Servidores Públicos para la formulación del PDD - DASCD/SDP</t>
  </si>
  <si>
    <t>https://capacitacion.moodle.serviciocivil.gov.co/curso/2174</t>
  </si>
  <si>
    <t>Generalidades de la formulación del PDD , fomentar la participación de los servidores públicos.</t>
  </si>
  <si>
    <t>Sesión Mesa de Cultura Ciudadana</t>
  </si>
  <si>
    <t>Mesa de Cultura Ciudadana</t>
  </si>
  <si>
    <t>Conocer las directrices para garantizar el avance de propuestas sectoriales frente al tema.</t>
  </si>
  <si>
    <t>santiago.trujillo@scrd.gov.co</t>
  </si>
  <si>
    <t xml:space="preserve">Presentación de las perspectivas de la Mesa de Cultura Ciudadana </t>
  </si>
  <si>
    <t>Gestión: Concertación con la Consultiva Rrom - Gitana de la metodología de participación del PDD</t>
  </si>
  <si>
    <t>Concertar con la Consultiva Rrom-Gitana la metodología de participación en el proceso de recolección de aportes de la II Fase del Plan Distrital de Desarrollo correspondiente a "Aspiraciones Comunes".</t>
  </si>
  <si>
    <t>Cra. 65a #5a-35. Casa Gitana</t>
  </si>
  <si>
    <t>Solicitud de vortechias con los sectores por parte del Pueblo Rrom-Gitano</t>
  </si>
  <si>
    <t>Jornada Pégate al Plan: Pedagogía ciudadana para el manejo e implementación de la herramienta chatico - STARTCO II</t>
  </si>
  <si>
    <t>Aplicación de instrumento  fase Il a través de chatico a patrocinadores, emprendedores, inversionistas, pymes</t>
  </si>
  <si>
    <t>Gestión: Concertación con la Consultiva Palenquera de la metodología de participación del PDD</t>
  </si>
  <si>
    <t>Concertar con la Consultiva Palenquera la metodología de participación en el proceso de recolección de aportes de la II Fase del Plan Distrital de Desarrollo correspondiente a "Aspiraciones Comunes".</t>
  </si>
  <si>
    <t>Estructura general del PDD , co-creación de  metodología  para la recoleccion de propuestas de la comunidad palenquera en el PDD</t>
  </si>
  <si>
    <t>Plenaria Extraordinaria - CTPD</t>
  </si>
  <si>
    <t>Acompañar la aprobación del reglamento interno.</t>
  </si>
  <si>
    <t>https://meet.google.com/hbz-vdfq-cka</t>
  </si>
  <si>
    <t>Aprobación del reglamento interno</t>
  </si>
  <si>
    <t>Diálogo con personas cuidadoras de personas con discapacidad (DDSPG)</t>
  </si>
  <si>
    <t xml:space="preserve">Orientar la construcción de propuestas ciudadanas para a formulación del PDD a través de información, diálogo, pedagogía y fortalecimiento de la confianza desde la planeación participativa, con las personas cuidadoras de personas con discapacidad. </t>
  </si>
  <si>
    <t>Diana Palma</t>
  </si>
  <si>
    <t>dpalma@sdp.gov.co</t>
  </si>
  <si>
    <t>Calle 31 # 17 - 49 Casa LGTBI Sebastián Romero</t>
  </si>
  <si>
    <t xml:space="preserve">objetivos estratégicos del PDD, se priorizaron algunas metas y programas, se dejaron propuestas abiertas en los cinco objetivos </t>
  </si>
  <si>
    <t>Dialogo Ciudadano para la Construcción del PDD - UPL Kennedy</t>
  </si>
  <si>
    <t>Alcaldía Local de Kennedy
Tv. 78 K # 41A -04 sur</t>
  </si>
  <si>
    <t>Plan Dristrital de Desarrollo, uso de Chatico</t>
  </si>
  <si>
    <t>Dialogo Ciudadano para la Construcción del PDD - UPL Cerros Orientales -  Sector San Luis y La Sureña</t>
  </si>
  <si>
    <t xml:space="preserve">Salón comunal San Luis Diagonal 96a N° 3a - 98 Este
</t>
  </si>
  <si>
    <t xml:space="preserve">Seguridad, Servicios, productividad, empleo y sostenibilidad en la ruralidad </t>
  </si>
  <si>
    <t>Dialogo Ciudadano para la Construcción del PDD - UPL Cerros Orientales -  Verjones</t>
  </si>
  <si>
    <t xml:space="preserve">
Salón Comunal Cristino Bravo Vereda Verjón Bajo, Santa Fe</t>
  </si>
  <si>
    <t>Jornada Pégate al Plan: Pedagogía ciudadana para el manejo de la herramienta chatico - Alimentarte</t>
  </si>
  <si>
    <t>Parque el Contry (Calle 127 #11d-90)</t>
  </si>
  <si>
    <t>Herramienta chatico</t>
  </si>
  <si>
    <t>Jornada Pégate al Plan: Pedagogía ciudadana para el manejo e implementación de la herramienta chatico - Parkway</t>
  </si>
  <si>
    <t>Monumento al Almirante José Prudencio Padilla, El Parkway (Av. 24 #37-51)</t>
  </si>
  <si>
    <t>Pedagogía uso de herramienta chatico</t>
  </si>
  <si>
    <t>Jornada Pégate al Plan: Pedagogía ciudadana para el manejo e implementación de la herramienta chatico - Conmemoración del día de la Mujer Sumapaceña</t>
  </si>
  <si>
    <t xml:space="preserve">Vereda Auras </t>
  </si>
  <si>
    <t xml:space="preserve">Propuestas para el Plan Distrital de Desarrollo </t>
  </si>
  <si>
    <t>Jornada Pégate al Plan: Pedagogía ciudadana para el manejo de la herramienta chatico - Alimentarte II</t>
  </si>
  <si>
    <t xml:space="preserve"> Propuestas ciudadanas para la formulación del Plan de Desarrollo Distrital</t>
  </si>
  <si>
    <t>Gestión: Taller del Plan de desarrollo Distrital -Funcionarios de la Veeduria Distrital.</t>
  </si>
  <si>
    <t>Dar a conocer la metodologia, cronograma y acompañamiento frente al proceso de construcción del Plan de de Desarrollo Distrital.</t>
  </si>
  <si>
    <t>Javier Pinzon Veeduria Distrital</t>
  </si>
  <si>
    <t>320 3434733</t>
  </si>
  <si>
    <t>jpinzon@veeduriadistrital.gov.co</t>
  </si>
  <si>
    <t>Auditorio Secretaria Distrital de Planeación</t>
  </si>
  <si>
    <t>Estrategia de Plan de Desarrollo , uso Catico</t>
  </si>
  <si>
    <t>Reunión preparatoria para la realización de Diálogos Ciudadanos con Grupos Étnicos</t>
  </si>
  <si>
    <t>Realizar reunión preparatoria para los Diálogos Ciudadanos con Grupos Étnicos con los enlaces de grupos étnicos de la Secretaría Distrital de Planeacion</t>
  </si>
  <si>
    <t>Edwin Caicedo</t>
  </si>
  <si>
    <t>Edwin.martinez@gobiernobogota.gov.co</t>
  </si>
  <si>
    <t>Secretaría Distrital de Gobierno (Carrera 8# 10-71)</t>
  </si>
  <si>
    <t>Metodología para diálogos ciudadanos; grupos étnicos; articulación institucional</t>
  </si>
  <si>
    <t>Seguimiento Estrategia de Participación del PDD a DASCD</t>
  </si>
  <si>
    <t xml:space="preserve">Realizar seguimiento y acompañamiento a espacios realizados durante la estrategia territorial de participación. </t>
  </si>
  <si>
    <t>https://meet.google.com/kxb-xfvs-kkh</t>
  </si>
  <si>
    <t xml:space="preserve">Seguimiento a talleres, actualización de cronograma , entrega de evidencias. </t>
  </si>
  <si>
    <t>Gestión: II Revisión de instrumento y articulación -  Dirección de Estratificación</t>
  </si>
  <si>
    <t xml:space="preserve">Determinar metodología de apoyo sobre propuestas de participación o comunicación. </t>
  </si>
  <si>
    <t>José Antonio Pinzón</t>
  </si>
  <si>
    <t>jpinzonb@sdp.gov.co</t>
  </si>
  <si>
    <t>ABC de la Estratificación, metodología comunicativa y estrategias</t>
  </si>
  <si>
    <t>Dialogo Ciudadano para la Construcción del PDD - UPL Chapinero</t>
  </si>
  <si>
    <t>Auditorio, Alcaldía Local de Chapinero - Carrera 13 # 54-74</t>
  </si>
  <si>
    <t>Obtetivos, programas , soluciones en el marco de la formulación del PDD</t>
  </si>
  <si>
    <t>Plenaria Permantente Extraordinaria - CTPD</t>
  </si>
  <si>
    <t>Acompañar la aprobación del Reglamento Interno.</t>
  </si>
  <si>
    <t>https://meet.google.com/foy-xibp-mqj</t>
  </si>
  <si>
    <t>Aprobación del reglamento interno CTPD</t>
  </si>
  <si>
    <t>I Diálogo Ciudadano Poblacional para la Construcción del PDD - Taller Niños, Niñas y Adolescentes - SED-SDP</t>
  </si>
  <si>
    <t>Recoger las propuestas de los Niños, Niñas y Adolescentes con respecto a la fase de aspiraciones comunes del Plan Distrital de Desarrollo.</t>
  </si>
  <si>
    <t>Individual</t>
  </si>
  <si>
    <t xml:space="preserve">Colegio Cultural Popular </t>
  </si>
  <si>
    <t>Fase II PDD</t>
  </si>
  <si>
    <t>CLIP Puente Aranda</t>
  </si>
  <si>
    <t>Acompañar la articulación de los esfuerzos institucionales de participación en la localidad de Puente Aranda.</t>
  </si>
  <si>
    <t>Martha Edid López</t>
  </si>
  <si>
    <t>315 6499699</t>
  </si>
  <si>
    <t>Puente Aranda</t>
  </si>
  <si>
    <t>Auditorio del primer piso de la Alcaldía
Local Pte Aranda</t>
  </si>
  <si>
    <t>Agenda participación Abril, Presentación estrategias formulación PDD</t>
  </si>
  <si>
    <t xml:space="preserve">I Diálogo Ciudadano Poblacional para la Construcción del PDD - Consultiva Negra-afrocolombiana </t>
  </si>
  <si>
    <t>Recoger las propuestas de la consultiva negra-afrocolombiana con respecto a la fase de aspiraciones comunes del Plan Distrital de Desarrollo.</t>
  </si>
  <si>
    <t>edwin.martinez@gobiernobogota.gov.co</t>
  </si>
  <si>
    <t>Casa Afro (Calle 8 #9-64)</t>
  </si>
  <si>
    <t>Propuestas sobre las metas del objetivo estratégico "Bogotá camina segura" del proyecto del PDD por parte de las comunidades negras</t>
  </si>
  <si>
    <t>En trámite</t>
  </si>
  <si>
    <t>I Foro - reglamentación del Manual de Ecourbanismo y Construcción Sostenible - Bienestar</t>
  </si>
  <si>
    <t>Reglamentación de Ecourbanismo y Construcción Sostenible</t>
  </si>
  <si>
    <t>Socializar la reglamentación de las disposiciones de Ecourbanismo y Construcción Sostenible - Decreto 582 de 2023 (generalidades).</t>
  </si>
  <si>
    <t>Camilo Luengas</t>
  </si>
  <si>
    <t>312 4453071</t>
  </si>
  <si>
    <t>camiloandresluengas@gmail.com</t>
  </si>
  <si>
    <t>http://meet.google.com/prz-ywsw-qew</t>
  </si>
  <si>
    <t>Manual de Eco urbanismo</t>
  </si>
  <si>
    <t>Abordaje Plan Distrital de Desarrollo -  Summa</t>
  </si>
  <si>
    <t>Acompañar el espacio para abordar las generalidades del Plan Distrital de Desarrollo.</t>
  </si>
  <si>
    <t>Paulina</t>
  </si>
  <si>
    <t>pduquefhi360.org</t>
  </si>
  <si>
    <t>meet.google.com/fiy-opck-gur</t>
  </si>
  <si>
    <t>Apoyo por parte de suma a los espacios de incidencia, apoyo al plan de desarrollo distrital</t>
  </si>
  <si>
    <t>Dialogo Ciudadano para la Construcción del PDD - UPL Sumapaz - Cuenca Río Blanco</t>
  </si>
  <si>
    <t>Heriberto Bernal</t>
  </si>
  <si>
    <t xml:space="preserve">Veredas Nazareth y Betania </t>
  </si>
  <si>
    <t>Propuestas Plan Distrital de Desarrollo</t>
  </si>
  <si>
    <t>Dialogo Ciudadano para la Construcción del PDD - UPL Salitre</t>
  </si>
  <si>
    <t>Auditorio Rafael Riveros del IDPAC Avenida Calle 22 No. 68C-51</t>
  </si>
  <si>
    <t>Popuestas Plan Distrital de Desarrollo</t>
  </si>
  <si>
    <t>Diálogo ciudadano para la formulación del Plan Distrital de Desarrollo PDD- LGBTI</t>
  </si>
  <si>
    <t>Orientar la construcción de propuestas ciudadanas para la formulación del PDD a través de información, diálogo, pedagogía y fortalecimiento de la confianza desde la planeación participativa, con personas de los sectores LGBTI y consejeros/as consultivos</t>
  </si>
  <si>
    <t>Marcial Alfredo Ortega Avila</t>
  </si>
  <si>
    <t>3002675080</t>
  </si>
  <si>
    <t>mortega@sdp.gov.co</t>
  </si>
  <si>
    <t>calle 23 No. 14 -19 Castillo de las Artes</t>
  </si>
  <si>
    <t>Construcción de propuestas ciudadanas para la formulación del PDD a través de información, diálogo, pedagogía y fortalecimiento de la confianza desde la planeación participativa, con personas de los sectores LGBTI y consejeros/as consultivos</t>
  </si>
  <si>
    <t>Socialización Plan Plurianual de Inversiones - Comisión PDD - CTPD</t>
  </si>
  <si>
    <t>Socializar desde la Subsecretaría de Planeación de la Inversión, de los criterios de asignación sectorial o territorial del plan plurianual de inversiones y los respectivos planes operativos anuales de inversión - POAI en la formulación del borrador del Plan.</t>
  </si>
  <si>
    <t>https://meet.google.com/kem-nyeq-ius</t>
  </si>
  <si>
    <t>Plan Plurianual de Inversiones</t>
  </si>
  <si>
    <t>meet.google.com/zwj-xyfv-yko</t>
  </si>
  <si>
    <t>Avance del estatus de actividades adelantadas en el marco de la segunda fase de la estrategia de participación del PDD Aspiraciones Comunes</t>
  </si>
  <si>
    <t>II Diálogo Ciudadano Poblacional para la Construcción del PDD - Taller Niños, Niñas y Adolescentes - SED-SDP</t>
  </si>
  <si>
    <t xml:space="preserve">Colegio Inem Santiago Pérez </t>
  </si>
  <si>
    <t>Acompañar la articulación de los esfuerzos institucionales de participación en la localidad de Ciudad Bolívar.</t>
  </si>
  <si>
    <t>Luisa pinzon</t>
  </si>
  <si>
    <t>‪3160503967‬</t>
  </si>
  <si>
    <t>https://teams.microsoft.com/l/meetup-join/19%3ameeting_MjhjZmQyYjgtNWJmOC00ZmNhLTgyODMtOWNhMGQxZjNlZGRh%40thread.v2/0?context=%7b%22Tid%22%3a%220f1156f1-406d-4123-99f0-a976b835b9b6%22%2c%22Oid%22%3a%22e893fafa-8392-44ed-aa11-0e06fb4fa772%22%7d</t>
  </si>
  <si>
    <t xml:space="preserve">Presentación de la estrategia para la formulación del Plan Distrital de Desarrollo y su fase II, Aspiraciones Comunes </t>
  </si>
  <si>
    <t>Dialogo Ciudadano para la Construcción del PDD - UPL Britalia</t>
  </si>
  <si>
    <t>Judy Jiménez</t>
  </si>
  <si>
    <t>gilmarjac2016@gmail.com</t>
  </si>
  <si>
    <t>Britalia</t>
  </si>
  <si>
    <t>Salón comunal del barrio Gilmar - Carrera 62 #161C - 33</t>
  </si>
  <si>
    <t>Identificar las propuestas ciudadanas para la formulación del Plan de Desarrollo Distrital</t>
  </si>
  <si>
    <t>Sesión Extraordinaria Comisión de Desarrollo Regional, Descentralización y Desconcentración del CTPD</t>
  </si>
  <si>
    <t>Acompañar como Secretaría Técnica de la sesión extraordinaria de la Comisión de Desarrollo Regional, Descentralización y Desconcentración, para revisar la metodología de aportes al PDD</t>
  </si>
  <si>
    <t>María Cristina Yela</t>
  </si>
  <si>
    <t>315 7917070</t>
  </si>
  <si>
    <t>19mcyb80.0@gmail.com</t>
  </si>
  <si>
    <t>https://meet.google.com/biv-jgdj-nsv?authuser=0</t>
  </si>
  <si>
    <t>Aportes Proyecto de PDD</t>
  </si>
  <si>
    <t>Construir documento de la comisión poblacional para la consolidación del concepto técnico del PDD.</t>
  </si>
  <si>
    <t>https://meet.google.com/vky-wbyh-ige</t>
  </si>
  <si>
    <t>Consolidación documento para el concepto técnico del PDD, formulación de preguntas para la Audiencia Pública del CTPD</t>
  </si>
  <si>
    <t>Comisión POT Ordinaria - CTPD</t>
  </si>
  <si>
    <t>Acompañar la realización de la primer  sesión de la Comisíón del Plan de Ordenamiento Territorial del CTPD.</t>
  </si>
  <si>
    <t>Cesar Munir Cardenas</t>
  </si>
  <si>
    <t>consejoterritorialdebogota@gmail.com</t>
  </si>
  <si>
    <t>meet.google.com/amw-gtvj-zkd</t>
  </si>
  <si>
    <t>Metodología para las propuestas , observaciónes del PDD</t>
  </si>
  <si>
    <t>Comisión Ordinaria de Participación - CTPD</t>
  </si>
  <si>
    <t>Acompañar la Segunda Reunión Comisión de Participación</t>
  </si>
  <si>
    <t>https://meet.google.com/hyq-exxk-ito</t>
  </si>
  <si>
    <t xml:space="preserve"> Plan Indicativo y Plurianual con acompañamiento de la Subsecretaría de la Inversión</t>
  </si>
  <si>
    <t>Sesión Ordinaria - Comisión Intersectorial Diferencial Poblacional</t>
  </si>
  <si>
    <t>Participar de la sesión ordinaria de la Comisión Intersectorial Poblacional Diferencial.</t>
  </si>
  <si>
    <t>Secretaría de Integración Social</t>
  </si>
  <si>
    <t>Avances de la CIPD , definición del plan de acción.</t>
  </si>
  <si>
    <t>Sesión Extraordinaria de la  Comisión Plan de Desarrollo Distrital</t>
  </si>
  <si>
    <t>Realizar la explicación y aclaración de uso de la matriz , la metodología , las inquietudes por parte del apoyo técnico de la Universidad Nacional sobre la construcción del criterio técnico del PDD por parte del CTPD.</t>
  </si>
  <si>
    <t>Claudia Patricia Solorzano Gutierrez</t>
  </si>
  <si>
    <t>claudiapatriciasolorzano@gmail.com</t>
  </si>
  <si>
    <t>https://meet.google.com/agx-vnyu-dgc</t>
  </si>
  <si>
    <t>Explicación y aclaración de uso de la matriz y la metodología, aclaración de inquietudes por parte del apoyo técnico de la Universidad Nacional</t>
  </si>
  <si>
    <t>CLIP Tunjuelito</t>
  </si>
  <si>
    <t>Acompañar la articulación de los esfuerzos institucionales de participación en la localidad de Tunjuelito.</t>
  </si>
  <si>
    <t>Jhon Santos</t>
  </si>
  <si>
    <t>320 2026914</t>
  </si>
  <si>
    <t>jsantos@participacionbogota.gov.co</t>
  </si>
  <si>
    <t>Centro de Salud El Tunal - Cl. 48c Sur #19c-48,</t>
  </si>
  <si>
    <t>Promoción de la paridad en instancias de participación; Estrategia participación Plan de Desarrollo Distrital; Diálogos ciudadanos</t>
  </si>
  <si>
    <t>Gestión:Mesa Rural Bogotá</t>
  </si>
  <si>
    <t>Realizar convocatoria por medio de volantes para el Taller de Diálogo Orientado de Cuenca de Tunjuelo para la construcción del PDD a los y los asistentes de la Mesa Rural.</t>
  </si>
  <si>
    <t>Ruby Puerto</t>
  </si>
  <si>
    <t>316 1500736‬</t>
  </si>
  <si>
    <t>NA</t>
  </si>
  <si>
    <t>Vereda Olarte</t>
  </si>
  <si>
    <t>Usme km 8 vía San Juan de Sumapaz</t>
  </si>
  <si>
    <t>Orientar la construcción de propuestas ciudadanas para la formulación del PDD a través de información, diálogo, pedagogía y fortalecimiento de la confianza desde la planeación participativa, con la población perteneciente a los sectores sociales LGBTI en la localidad de Suba.</t>
  </si>
  <si>
    <t>Tibabuyes</t>
  </si>
  <si>
    <t xml:space="preserve">Suba Urbano </t>
  </si>
  <si>
    <t>calle 146 C # 92-78 Casa LGBTI Laura</t>
  </si>
  <si>
    <t>Construcción de propuestas ciudadanas para la formulación del PDD a través de información, diálogo, pedagogía y fortalecimiento de la confianza desde la planeación participativa, con la población perteneciente a los sectores sociales LGBTI en la localidad de Suba.</t>
  </si>
  <si>
    <t>Dialogo Ciudadano para la Construcción del PDD - UPL Arborizadora</t>
  </si>
  <si>
    <t>Armando Alberto Montañez</t>
  </si>
  <si>
    <t>Casa de la cultura de Ciudad Bolivar, Avenida Calle 61 Sur #59 B-43 Sur</t>
  </si>
  <si>
    <t xml:space="preserve">Superación de la pobreza, actualización del SISBEN, Formalización de organizaciones de recicladores, </t>
  </si>
  <si>
    <t>Gestión: reunión con ACNUR sobre la participación de migrantes en el marco de la formulación del PDD</t>
  </si>
  <si>
    <t>Definir la estrategia de recolección de aportes de la población migrante en Bogotá en el marco de la formulación del Plan Distrital de Desarrollo</t>
  </si>
  <si>
    <t>Andrea Ariza</t>
  </si>
  <si>
    <t>plazassa@unhcr.org</t>
  </si>
  <si>
    <t>https://meet.google.com/wfn-ptud-azs</t>
  </si>
  <si>
    <t>Propuestas metodológicas para la participación de las y los migrantes en el marco de la formulación del PDD</t>
  </si>
  <si>
    <t>I Diálogo Ciudadano Poblacional para la Construcción del PDD - Comunidad Palenquera</t>
  </si>
  <si>
    <t>Recoger los aportes de la comunidad palenquera en el marco de la fase de aspiraciones comunes de la planeación participativa del Plan Distrital de Desarrollo.</t>
  </si>
  <si>
    <t>Manuela Cassiani - Organización Kuagro Monarí Palenge</t>
  </si>
  <si>
    <t>Manuela.cassiani@gobiernobogota.gov.co</t>
  </si>
  <si>
    <t>Posa Wiwa (Carrera 3 #10-72)</t>
  </si>
  <si>
    <t>Socialización de insumos para el proceso de recoleccion de propuestas de la comunidad palenquera en el PDD</t>
  </si>
  <si>
    <t>Sesión Comisión Intersectorial de Participación (CIP)</t>
  </si>
  <si>
    <t>Acompañar la Construcción y aprobación del Plan de Acción de la Comisión, la modificación al Reglamento Interno de la Comisión y la elección de los miembros de la Unidad Técnica de Apoyo de la Comisión.</t>
  </si>
  <si>
    <t>https://teams.microsoft.com/l/meetup-join/19%3ameeting_NDdkZDIxZjktMjFhOC00Mjg0LWJlMDMtNjBmODQwM2YxM2Uz%40thread.v2/0?context=%7b%22Tid%22%3a%220f1156f1-406d-4123-99f0-a976b835b9b6%22%2c%22Oid%22%3a%22a633c68c-9716-4817-90ed-63669c0835f6%22%7d</t>
  </si>
  <si>
    <t>Plan de acción y reglamento interno de la CIP</t>
  </si>
  <si>
    <t xml:space="preserve">II Diálogo Ciudadano Poblacional para la Construcción del PDD - Consultiva Negra-afrocolombiana </t>
  </si>
  <si>
    <t>Propuestas alrededor del objetivo 2 del PDD</t>
  </si>
  <si>
    <t xml:space="preserve">Socialización de PDD a la Mesa de Indígenas Víctimas del Conflicto Armado </t>
  </si>
  <si>
    <t>Presentar a los Pueblos Indígenas víctimas del conflicto armado los avances en el Plan Distrital de Desarrollo.</t>
  </si>
  <si>
    <t>Camila Ruiz</t>
  </si>
  <si>
    <t>ccuellar@alcaldiabogota.gov.co</t>
  </si>
  <si>
    <t>Calle 9 # 9-60</t>
  </si>
  <si>
    <t>Metodología para las propuestas de la Mesa en el marco del PDD</t>
  </si>
  <si>
    <t>Dialogo Ciudadano para la Construcción del PDD - UPL Tibabuyes</t>
  </si>
  <si>
    <t>Parque Berlín (entre calles 139 y 142 con carreras 144 A y 145B) - Calle 142 # 145 - 75</t>
  </si>
  <si>
    <t xml:space="preserve">Contenidos del proyecto del Plan Distrital de Desarrollo, guía de uso de Chatico </t>
  </si>
  <si>
    <t>Socialización de la estrategia de participación PDD - Autoridades Indígenas Bakata (AIB)</t>
  </si>
  <si>
    <t>Atender la invitación para Socialización de la estrategia de participación PDD - Autoridades Indígenas Bakata (AIB)</t>
  </si>
  <si>
    <t>Secretaría Distrital de Gobierno</t>
  </si>
  <si>
    <t>Casa AIB Carrera 8 # 6B - 36</t>
  </si>
  <si>
    <t>Acompañamiento como Secretaría Técnica a la sesión extraordinaria de la Comisión de Desarrollo Regional, Descentralización y Desconcentración, para revisar la metodología de aportes al PDD</t>
  </si>
  <si>
    <t xml:space="preserve"> https://meet.google.com/zgw-acvo-dfp</t>
  </si>
  <si>
    <t>Propuestas PDD</t>
  </si>
  <si>
    <t>Dialogo Ciudadano para la Construcción del PDD - UPL Toberín</t>
  </si>
  <si>
    <t>David Alejandro Mendieta</t>
  </si>
  <si>
    <t>CDC Simón Bolívar (Servitá) 
Calle 165 # 7-38 Salón 202</t>
  </si>
  <si>
    <t>Gestión: Preparatoria metodología de participación Pueblos Indígenas</t>
  </si>
  <si>
    <t>Realizar  reunión preparatoria para mostrarle a la Gobernadora Paulina Majis la metodología para la recolección de aportes de II fase del PDD</t>
  </si>
  <si>
    <t>Paulina Majis</t>
  </si>
  <si>
    <t>carmen.chindoy@gobiernobogota.gov.co</t>
  </si>
  <si>
    <t>Casa Indígena Calle 9#9-60</t>
  </si>
  <si>
    <t>Preparatoria del espacio de concertación de la metodologia de participación de los pueblos indígenas en el PDD</t>
  </si>
  <si>
    <t>Dialogo Ciudadano para la Construcción del PDD - UPL Porvenir</t>
  </si>
  <si>
    <t>Salón Comunal Centauros Cra 92a # 56h - 40 sur</t>
  </si>
  <si>
    <t>Propuestas ciudadanas para la construcción del plan distrital de desarrollo</t>
  </si>
  <si>
    <t>Sesión Comisión POT -CTPD</t>
  </si>
  <si>
    <t>Acompañar la finalización de la comisión POT realizada el dia 20 de marzo de 2024</t>
  </si>
  <si>
    <t>munirkadamani2004@gmail.com</t>
  </si>
  <si>
    <t>meet.google.com/vaf-cyws-heo</t>
  </si>
  <si>
    <t xml:space="preserve">Formulación de las preguntas sobre el PDD a los secretarios </t>
  </si>
  <si>
    <t>Dialogo Ciudadano para la Construcción del PDD - UPL Sumapaz - Cuenca Río Sumapaz</t>
  </si>
  <si>
    <t>Luz Miriam Morales</t>
  </si>
  <si>
    <t>312 3412730</t>
  </si>
  <si>
    <t>Vereda Nueva Granada y Vereda Santana</t>
  </si>
  <si>
    <t>Aportes rurales para el Plan Distrital de Desarrollo</t>
  </si>
  <si>
    <t>Audiencia Pública del CTPD con Sectores Distritales</t>
  </si>
  <si>
    <t>Clarificar dudas, inquietudes y preguntas que tienen las Consejeras y los Consejeros del CTPD y ciudadanía respecto del Proyecto de Plan Distrital de Desarrollo</t>
  </si>
  <si>
    <t>Liliana Urrego de los Ángeles</t>
  </si>
  <si>
    <t>Auditorio Camilo Torres de la Escuela Superior de Administración Pública - ESAP, Calle 44 # 53-37</t>
  </si>
  <si>
    <t>Recibir propuestas para el concepto del PDD</t>
  </si>
  <si>
    <t>Comisión poblacional CTPD</t>
  </si>
  <si>
    <t>Aprobar el documento de aportes al concepto del PDD</t>
  </si>
  <si>
    <t>JACQUELINE HERNANDEZ</t>
  </si>
  <si>
    <t>humbertofabiodiazacosta@gmail.com</t>
  </si>
  <si>
    <t xml:space="preserve"> https://meet.google.com/mdd-pwtp-fkj</t>
  </si>
  <si>
    <t>Propuestas comisión poblacional para el concepto del PDD</t>
  </si>
  <si>
    <t>Mesas de trabajo para redacción y consolidación del concepto PDD</t>
  </si>
  <si>
    <t>Realizar el documento concepto del CTPD sobre el PDD</t>
  </si>
  <si>
    <t>Liliana de los Angeles Urrego</t>
  </si>
  <si>
    <t xml:space="preserve">Carrera 30 · 25 - 90, Super CAD, segundo piso CTPD </t>
  </si>
  <si>
    <t>Borrador del Plan Distrital de Desarrollo 2024-2028</t>
  </si>
  <si>
    <t>Jornada Pégate al Plan: Pedagogía ciudadana para el manejo de la herramienta chatico - Señor de los Milagros</t>
  </si>
  <si>
    <t>Entrada a Monserrate</t>
  </si>
  <si>
    <t>Contrucción iniciativas plan de desarrollo</t>
  </si>
  <si>
    <t>Comisión accidental redactora concepto PDD</t>
  </si>
  <si>
    <t xml:space="preserve">Redacción concepto Plan Distrital de  Desarrollo </t>
  </si>
  <si>
    <t>Liliana Urrego Navarro</t>
  </si>
  <si>
    <t>funlaun@gmail.com</t>
  </si>
  <si>
    <t>https://tel.meet/hjq-ujrs-nms?pin=2659448860485</t>
  </si>
  <si>
    <t>Redacción concepto PDD</t>
  </si>
  <si>
    <t xml:space="preserve">Comisión POT extraordinaria </t>
  </si>
  <si>
    <t xml:space="preserve">Realizar lor aportes por parte de la Comisón para el concepto PDD </t>
  </si>
  <si>
    <t>https://meet.google.com/nns-xase-tbf?authuser=0</t>
  </si>
  <si>
    <t>Concepto PDD de la comisión POT</t>
  </si>
  <si>
    <t xml:space="preserve">III Diálogo Ciudadano Poblacional para la Construcción del PDD - Consultiva Negra-afrocolombiana </t>
  </si>
  <si>
    <t>Recoger las propuestas de la consultiva negra-afrocolombiana con respecto a la fase de aspiraciones comunes del Plan Distrital de Desarrollo</t>
  </si>
  <si>
    <t xml:space="preserve">Recolección de propuestas alrededor del objetivo 3, 4 y 5 del PDD </t>
  </si>
  <si>
    <t>Sesión Extraordinaria de la Comisión de Plan Distrital de Desarrollo del CTPD</t>
  </si>
  <si>
    <t>Consolidar el texto que el Coordinador leerá en nombre de la comisión en el Acto Protocolario de entrega del concepto del CPTD.</t>
  </si>
  <si>
    <t>Claudia Patricia Solorzano</t>
  </si>
  <si>
    <t>https://meet.google.com/ikj-kdhk-xze?authuser=0</t>
  </si>
  <si>
    <t>Consolidar el texto que el Coordinador leerá en nombre de la comisión en el Acto Protocolario de entrega del concepto del CPTD</t>
  </si>
  <si>
    <t>Plenaria extraordinaria CTPD</t>
  </si>
  <si>
    <t>Aprobar el concepto frente aL PDD</t>
  </si>
  <si>
    <t xml:space="preserve"> https://meet.google.com/xeq-eiwq-aaf</t>
  </si>
  <si>
    <t>Aprobación del concepto del PDD</t>
  </si>
  <si>
    <t>Diálogo Ciudadano para la Construcción del PDD - Recicladores</t>
  </si>
  <si>
    <t>Magda Barinas</t>
  </si>
  <si>
    <t>310 3301336</t>
  </si>
  <si>
    <t>Inclusión de propuestas de líderes recicladores a la formulación del PDD</t>
  </si>
  <si>
    <t xml:space="preserve">No aplica </t>
  </si>
  <si>
    <t>Construir el documento de la Comisión PDD para la entrega del concepto del CPTD del PDD</t>
  </si>
  <si>
    <t>https://meet.google.com/ywu-ggqj-epv</t>
  </si>
  <si>
    <t>Construcción del documento de la Comisión de Pla Distrital de Desarrollo sobre el Concepto del PDD del CTPD</t>
  </si>
  <si>
    <t xml:space="preserve">Comisión POT extraordinaria del CTPD </t>
  </si>
  <si>
    <t>Ajustar  el documento del concepto PDD</t>
  </si>
  <si>
    <t>324 4150125</t>
  </si>
  <si>
    <t>meet.google.com/wkp-xznm-wuk</t>
  </si>
  <si>
    <t xml:space="preserve">Elaboración del documento concepto PDD </t>
  </si>
  <si>
    <t>Comisión Extraordinaria de Participación</t>
  </si>
  <si>
    <t>Revisar los aportes de la comisión para el Concepto del PDD</t>
  </si>
  <si>
    <t>https://meet.google.com/ubi-wxge-vmz</t>
  </si>
  <si>
    <t>Redacción del Concepto del PDD</t>
  </si>
  <si>
    <t>Comisión de Participación del CTPD</t>
  </si>
  <si>
    <t>Avanzar en la Construcción del Concepto del PDD</t>
  </si>
  <si>
    <t>Dick Darío Díaz Meléndez</t>
  </si>
  <si>
    <t>https://meet.google.com/bwk-stwo-xnn</t>
  </si>
  <si>
    <t>Construcción del Concepto del PDD</t>
  </si>
  <si>
    <t>Comisión extarordinaria POT del CTPD</t>
  </si>
  <si>
    <t xml:space="preserve">Terminar el documento concepto PDD por parte de la comisión POT </t>
  </si>
  <si>
    <t>https://meet.google.com/iom-fdvw-krh?authuser=0</t>
  </si>
  <si>
    <t>Aportes para el documento concepto PDD</t>
  </si>
  <si>
    <t>Comisión Extraordinaria Poblacional</t>
  </si>
  <si>
    <t>Consolidar el concepto técnico del Plan Distrital de Desarrollo</t>
  </si>
  <si>
    <t>https://meet.google.com/xvx-yegr-xri?pli=1&amp;authuser=1</t>
  </si>
  <si>
    <t>Construcción de documento para la consolidación del concepto técnico del PDD</t>
  </si>
  <si>
    <t>Sesión Extraordinaria de la Comisión Desarrollo Regional,  Descentralización y Desconcentración</t>
  </si>
  <si>
    <t>Revisar la metodología de aportes al PDD</t>
  </si>
  <si>
    <t>https://meet.google.com/qjx-kjcd-guf</t>
  </si>
  <si>
    <t>Construcción de propuestas para el PDD por parte de la Comisión de Desarrollo Regional del CTPD</t>
  </si>
  <si>
    <t>Comisión redactora concepto PDD</t>
  </si>
  <si>
    <t>Emitir concepto PDD</t>
  </si>
  <si>
    <t>hdiaza@sdp.gov.co</t>
  </si>
  <si>
    <t>https://meet.google.com/bnf-cson-wcn</t>
  </si>
  <si>
    <t>Redacción del concepto PDD</t>
  </si>
  <si>
    <t>Plenaria extraordinaria permanente CTPD</t>
  </si>
  <si>
    <t>https://meet.google.com/auy-iaof-dwa</t>
  </si>
  <si>
    <t>Carmen Chindoy</t>
  </si>
  <si>
    <t>maria.chindoy@gobiernobogota.gov.co</t>
  </si>
  <si>
    <t>Casa Indigena (Calle 9 #9-60)</t>
  </si>
  <si>
    <t>Metodología de participación PDD; Conpes 37; armonización de PDD y PP</t>
  </si>
  <si>
    <t>Diálogo Ciudadano para la Construcción del PDD - UPL Torca</t>
  </si>
  <si>
    <t>marianieto@edca.edu.co</t>
  </si>
  <si>
    <t>UDCA Calle 222 # 55-37</t>
  </si>
  <si>
    <t>Metodología Estratificación. Participación - Comunicaciones</t>
  </si>
  <si>
    <t>Determinar metodología de apoyo sobre propuestas de participación o comunicación entre la Oficina de Participación y Comunicaciones.</t>
  </si>
  <si>
    <t>https://meet.google.com/gfw-cpkr-aot</t>
  </si>
  <si>
    <t>Metodología, estrategia, casos reales y posibles métodos de socialización.</t>
  </si>
  <si>
    <t>Entrega de concepto del PDD por parte del CTPD al Alcalde Mayor</t>
  </si>
  <si>
    <t>Entregar el concepto emitido por el Consejo Territorial de Planeación Distrital del PDD al Alcalde Mayor.</t>
  </si>
  <si>
    <t>Liliana de los Ángeles Urrego Navarro Presidenta CTPD</t>
  </si>
  <si>
    <t>Auditorio Huitaca</t>
  </si>
  <si>
    <t>Despliegue del concepto técnico del PDD por objetivos estratégicos en cada una de las comisiones del CTPD (Plan Distrital de Desarrollo, Regional, Participación, Poblacional, POT)</t>
  </si>
  <si>
    <t>Clip Santa Fé</t>
  </si>
  <si>
    <t>Acompañar la articulación de los esfuerzos institucionales de participación en la localidad de Santa Fé</t>
  </si>
  <si>
    <t>Maria Fernanda Doncel</t>
  </si>
  <si>
    <t>301 2144352</t>
  </si>
  <si>
    <t>mafe51@live.com</t>
  </si>
  <si>
    <t>Cl. 21 #5-74</t>
  </si>
  <si>
    <t>Dia de la niñez, Estrategia Formulación PDL , Estatrategia formulación PDD</t>
  </si>
  <si>
    <t>Jornada Pégate al Plan: Pedagogía ciudadana para el manejo e implementación de la herramienta chatico - Universidad Agustiniana</t>
  </si>
  <si>
    <t>Avenida Carrera 86 # 11b - 95</t>
  </si>
  <si>
    <t xml:space="preserve">Plan de desarrollo distrital, 5 objetivos, propuestas. </t>
  </si>
  <si>
    <t>CLIP Fontibón</t>
  </si>
  <si>
    <t>Acompañar la articulación de los esfuerzos institucionales de participación en la localidad de Fontibón en el mes de abril.</t>
  </si>
  <si>
    <t>Nohora Rodríguez</t>
  </si>
  <si>
    <t>nrodriguez@participacionbogota.gov.co</t>
  </si>
  <si>
    <t xml:space="preserve">Fontibón </t>
  </si>
  <si>
    <t>Carrera 99 No. 19 - 43</t>
  </si>
  <si>
    <t xml:space="preserve">Encuentros Ciudadanos,  Estrategia segunda Fase de la Formulación del PDD y Fortalecimiento de instancias </t>
  </si>
  <si>
    <t xml:space="preserve">Gestión: Preparatoria Vortacko I con el pueblo Rrom </t>
  </si>
  <si>
    <t>Cocertar con el pueblo Rrom la metolodogia para el Vortacko I</t>
  </si>
  <si>
    <t>https://teams.microsoft.com/l/meetup-join/19%3ameeting_NmNjOWZiM2UtMDU4ZC00ZmNiLWJiY2YtZGY2NDg2MzU0Nzgy%40thread.v2/0?context=%7b%22Tid%22%3a%2214de155f-e192-44da-994d</t>
  </si>
  <si>
    <t>Roles de la SDG y la SDP en el abordaje del Vortacko Rrom alrededor del proceso de formulación del PDD</t>
  </si>
  <si>
    <t>Secretarios a la calle</t>
  </si>
  <si>
    <t>Acompañar la articulación de Dialogos ciudadanos para la formulación del Plan Distrital de Desarrollo</t>
  </si>
  <si>
    <t>La Soledad</t>
  </si>
  <si>
    <t>CAI de la Soledad - Parkway</t>
  </si>
  <si>
    <t>Formulación de PDD con enfasis en segurididad e infraestructuras de seguridad</t>
  </si>
  <si>
    <t>meet.google.com/chh-oeyb-nan</t>
  </si>
  <si>
    <t>Avance por entidad en la estrategia de participación del Plan Distrital de Desarrollo</t>
  </si>
  <si>
    <t>I Diálogo Ciudadano Poblacional para la Construcción del PDD - Consultiva Indígena</t>
  </si>
  <si>
    <t>Recoger los aportes de los pueblos indígenas en el marco de la fase de aspiraciones comunes de la planeación participativa del Plan Distrital de Desarrollo</t>
  </si>
  <si>
    <t>Casa Indígena (Calle 9 #9-60)</t>
  </si>
  <si>
    <t xml:space="preserve">Plan Distrital de Desarrollo Pueblos Indígenas </t>
  </si>
  <si>
    <t>Taller diálogos ciudadanos - Mesa de trabajo con Sociedad Civil de cara a la construcción del PDD-SUMMA</t>
  </si>
  <si>
    <t xml:space="preserve">Acompañar la identificación de propuestas del PDD mediante taller con diálogos ciudadanos en mesa de trabajo con Sociedad Civil </t>
  </si>
  <si>
    <t>Paulina Duque</t>
  </si>
  <si>
    <t>pduque@fhi360.org</t>
  </si>
  <si>
    <t>10 mesas en torno a los 5 objetivos de cara a la construcción del plan distrital de desarrollo con los ciudadanos</t>
  </si>
  <si>
    <t>Acompañar la articulación de los esfuerzos institucionales de participación en la localidad de Rafel Uribe Uribe en el mes de abril.</t>
  </si>
  <si>
    <t>Reina Sanchez</t>
  </si>
  <si>
    <t>dsanchez@participacionbogota.gov.co</t>
  </si>
  <si>
    <t>Alcaldía Local De Rafael Uribe Uribe Calle 32 Sur 23 62</t>
  </si>
  <si>
    <t>Diligenciamiento  de 25 formatos con diversas propuestas PDD , programación 4 acciones "Toma alcaldia local " , toma centro comercial caracas, toma cdc, toma 10 comedores comunitarios</t>
  </si>
  <si>
    <t xml:space="preserve">I Vortako Virtual 1 Sesión: Participación Consejo </t>
  </si>
  <si>
    <t>Escuchar a la consultiva Rrom  en relación con derecho de petición radicada a la SDG</t>
  </si>
  <si>
    <t>Dirección de Asuntoes Étnicos - Secretaría Distrital de Gobierno SDG</t>
  </si>
  <si>
    <t>https://teams.microsoft.com/l/meetup-join/19%3ameeting_MzYzMjEzODAtZjQ1Mi00ZTk3LWFkZmQtYTkwMWNiZThmZTY4%40thread.v2/0?context=%7b%22Tid%22%3a%2214de155f-e192-44da-994d-1913d8658372%22%2c%22Oid%22%3a%2204a273b8-28ba-4099-9b31-ca5e8d396a0f%22%7d</t>
  </si>
  <si>
    <t>Armonización de los productos concertados de política pública en los programas y metas del plan distrital de desarrollo</t>
  </si>
  <si>
    <t>Orientar la construcción de propuestas ciudadanas para la formulación del PDD a través de información, diálogo, pedagogía y fortalecimiento de la confianza desde la planeación participativa, con las personas de los sectores sociales LGBTI del Sur en la Casa Edward Hernández.</t>
  </si>
  <si>
    <t>Tintal</t>
  </si>
  <si>
    <t>Nuevo Kennedy</t>
  </si>
  <si>
    <t xml:space="preserve"> Calle 36 Sur #78K-58  Casa Edward Hernández</t>
  </si>
  <si>
    <t>Construcción de propuestas ciudadanas para la formulación del PDD a través de información, diálogo, pedagogía y fortalecimiento de la confianza desde la planeación participativa, con las personas de los sectores sociales LGBTI del Sur en la Casa Edward Hernández.</t>
  </si>
  <si>
    <t>Dialogo Ciudadano para la Construcción del PDD - UPL Puente Aranda</t>
  </si>
  <si>
    <t>Centro Nacional de Hotelería - SENA, Salón Arrayanes (Av. Cra 30 #15-53)</t>
  </si>
  <si>
    <t>Identificación de  las propuestas ciudadanas para la formulación del Plan de Desarrollo Distrital.</t>
  </si>
  <si>
    <t>Plan de trabajo Acciones Afirmativas art 66 - Comunidad Palenquera</t>
  </si>
  <si>
    <t>Políticas Públicas</t>
  </si>
  <si>
    <t>Establecer el plan de trabajo con la comunidad palenquera para el cumplimiento del Plan Integral de Acciones Afirmativas establecido en el articulo 66 del PDD 2020-2024.</t>
  </si>
  <si>
    <t>Manuela Cassiani</t>
  </si>
  <si>
    <t>manuela.cassiani@gobiernobogota.gov.co</t>
  </si>
  <si>
    <t>Posá Wiwa (Carrera 3 #10-72)</t>
  </si>
  <si>
    <t>Plan de trabajo para ejecutar acciones afirmativas; articulo 66</t>
  </si>
  <si>
    <t>III Diálogo Ciudadano Poblacional para la Construcción del PDD - Taller Niños, Niñas y Adolescentes - SED-SDP</t>
  </si>
  <si>
    <t xml:space="preserve">Colegio Nacional del Comercio </t>
  </si>
  <si>
    <t xml:space="preserve">PDD Fase II Aspiraciones comunes </t>
  </si>
  <si>
    <t>II Foro - reglamentación del Manual de Ecourbanismo y Construcción Sostenible - Ambiente</t>
  </si>
  <si>
    <t xml:space="preserve"> Acompañar el foro Eco urbanismo con enfasis en Bienestar: aspectos relacionados con el confort acústico, térmico, lumínico y la calidad del aire al interior de las edificaciones.</t>
  </si>
  <si>
    <t>Juan Nicolas Rincon</t>
  </si>
  <si>
    <t>313 2612711</t>
  </si>
  <si>
    <t>nicolas.rincon@ambientebogota.gov.co</t>
  </si>
  <si>
    <t>https://meet.google.com/ybo-enew-ghp?hs=224</t>
  </si>
  <si>
    <t xml:space="preserve">Socialización de norma urbana bioclimática </t>
  </si>
  <si>
    <t>Lourdes Aleyda Guzman Escandon</t>
  </si>
  <si>
    <t>Calle 120A # 7 - 55.</t>
  </si>
  <si>
    <t xml:space="preserve">Explicación de Encuentros Ciudadanos Locales en Usaquén, explicación del proceso adelantado por la SDP en la formulación del PDD, invitación a taller de Diálogos Cidadanos UPL Usaquén y UPL Cerros </t>
  </si>
  <si>
    <t>Mesa de Seguimiento en Concejo - Foro "Jóvenes Construyendo una Ciudad Sostenible"</t>
  </si>
  <si>
    <t>Acompañar la articulación entre la ACJ_YMCA y Secretaría Distrital de Integración Social para la recepción de las propuestas de los Jóvenes producto del Foro "Jóvenes Construyendo una Ciudad Sostenible"</t>
  </si>
  <si>
    <t xml:space="preserve">Concejo de Bogotá - Cl. 36 #28A-41 </t>
  </si>
  <si>
    <t>Propuestas de los Jóvenes para el Plan Distrital de Desarrollo orientadas a las temáticas de  Convivencia, Paz y Cuidado de la Vida; Desarrollo y superación de la pobreza y Planeta Sostenible.</t>
  </si>
  <si>
    <t>III Revisión de estrategia -  Dirección de Estratificación</t>
  </si>
  <si>
    <t>Secretaría Distrital de Planeación (Piso 13)</t>
  </si>
  <si>
    <t xml:space="preserve">Introducción de la estratificación, metodología, ediciones, avances, casos reales, estrategia de comunicación y de territorio.  </t>
  </si>
  <si>
    <t>Encuentro Estratégico Grupo de Juventud Bogotá Cali.</t>
  </si>
  <si>
    <t>Identificar las propuestas ciudadanas para formularlas en el PDD, del grupo de juventud "Incidir para Existir" acompañado por Movilizatorio y financiado por el Fondo de las Naciones Unidas para la Democracia.</t>
  </si>
  <si>
    <t>María José Pinzón</t>
  </si>
  <si>
    <t>310 3450203</t>
  </si>
  <si>
    <t>mariajose.pinzon@movilizatorio.org</t>
  </si>
  <si>
    <t>https://meet.google.com/fub-dxuv-npz</t>
  </si>
  <si>
    <t>Incidencias futuras de parte del grupo de juventud del Movilizatorio de Bogotá, en decisiones en materia de administración pública.</t>
  </si>
  <si>
    <t>Gestión: Diálogo Ciudadano Población Migrante - ACNUR / SDP</t>
  </si>
  <si>
    <t>Recolectar las propuestas de la población migrante en la fase de "Aspiraciones Comunes" en el marco de la planeación participativa del Plan de Desarrollo Distrital</t>
  </si>
  <si>
    <t>Tatiana Santafe</t>
  </si>
  <si>
    <t>Fundación Niñas para la Paz - Calle 100 #8A - 55</t>
  </si>
  <si>
    <t>Concertacion de metodología para la recolección de aportes al PDD</t>
  </si>
  <si>
    <t>Acompañar la articulación de los esfuerzos institucionales de participación en la localidad de San Cristóbal en el mes de abril</t>
  </si>
  <si>
    <t>CDC La Victoria CL 37 B Bis Sur # 2 - 81 Este.</t>
  </si>
  <si>
    <t>Exposición de estrategia de participación del PDD, explicación de la metodología para los encuentros ciudadanos (capacitación para las entidades)</t>
  </si>
  <si>
    <t>Presentación Normatividad y Planos UPL Tabora</t>
  </si>
  <si>
    <t>Proyectos Integrales de Proximidad</t>
  </si>
  <si>
    <t xml:space="preserve">Presentación Normatividad y Planos UPL Tabora , dando respuesta a un derecho de petición </t>
  </si>
  <si>
    <t>Mario Edilberto Torres</t>
  </si>
  <si>
    <t>veeduriaciudadanalaespanola@gmail.com</t>
  </si>
  <si>
    <t>La Española</t>
  </si>
  <si>
    <t>Calle 83A # 85A 17</t>
  </si>
  <si>
    <t xml:space="preserve">Presentación Normativa y afectación residencial de proyecto avenida ciudad de Cali por obra de Troncal Transmilenio  </t>
  </si>
  <si>
    <t>Dialogo Ciudadano para la Construcción del PDD - UPL Usme Entrenubes</t>
  </si>
  <si>
    <t>Lugar El auditorio N° 2, ALCALDIA LOCAL DE USME Cl. 137 Sur #3a-44, Bogotá</t>
  </si>
  <si>
    <t>Dialogo Ciudadano para la Construcción del PDD - UPL Rafael Uribe Uribe</t>
  </si>
  <si>
    <t>Junta de Acción Comunal barrio Molinos del Sur
Calle 49D bis Sur # 5U - 26</t>
  </si>
  <si>
    <t>Sesión extraordinaria de la Red de Veedurías</t>
  </si>
  <si>
    <t xml:space="preserve">Definir hoja de ruta taller PDD con Veedurías Ciudadanas </t>
  </si>
  <si>
    <t>https://meet.google.com/cob-mwjp-oqi?hs=224</t>
  </si>
  <si>
    <t>Planeación taller PDD con veedurías, Metodología fase II aspiraciones comunes</t>
  </si>
  <si>
    <t>Dialogo Ciudadano para la Construcción del PDD - UPL Sumapaz - Cuenca Río Sumapaz - Santo Domingo</t>
  </si>
  <si>
    <t>Edna Rocio</t>
  </si>
  <si>
    <t>310 7522789</t>
  </si>
  <si>
    <t xml:space="preserve">Salón comunal Vereda Santo Domingo </t>
  </si>
  <si>
    <t xml:space="preserve">Necesidades de la ruralidad frente a seguridad, bien-estar, desarrollo económico, ordenamiento territorial y gobernabilidad. </t>
  </si>
  <si>
    <t>Diálogo con el Cabildo Indígena Muisca de Suba</t>
  </si>
  <si>
    <t>Sistema de Sitios Sagrados Muyscas</t>
  </si>
  <si>
    <t>Realizar un espacio de Diálogo con el Gobernador Muisca de Suba y el Secretario de Planeción.</t>
  </si>
  <si>
    <t>Carrera 86 #147-23 Cabildo Indígena Muisca de Suba</t>
  </si>
  <si>
    <t>Plan de vida Muisca; Plan de Desarrollo; Política Publica</t>
  </si>
  <si>
    <t>II Diálogo Ciudadano Poblacional para la Construcción del PDD - Comunidad Palenquera</t>
  </si>
  <si>
    <t xml:space="preserve">Recolección de propuestas de la comunidad palenquera alrededor de la formulación del Plan Distrital de Desarrollo </t>
  </si>
  <si>
    <t>Dialogo Ciudadano para la Construcción del PDD - UPL Suba</t>
  </si>
  <si>
    <t>Punto de Integración Social (SDIS), dirección: Carrera 91 # 146C - 15 (ingreso por la puerta lateral sobre la calle 146C)</t>
  </si>
  <si>
    <t>Propuestas ciudadanas para la formulación del Plan de Desarrollo Distrital.</t>
  </si>
  <si>
    <t>Dialogo Ciudadano para la Construcción del PDD - UPL El Edén</t>
  </si>
  <si>
    <t>Calle 51C Sur # 81F - 15 Salón comunal del barrio El Carmelo</t>
  </si>
  <si>
    <t>Orientar la construcción de propuestas ciudadanas para a formulación del PDD a través de información, diálogo, pedagogía y fortalecimiento de la confianza desde la planeación participativa, con las personas cuidadoras de personas con discapacidad.</t>
  </si>
  <si>
    <t>Calle 31 # 17- 49 Casa LGTBI Sebastián Romero</t>
  </si>
  <si>
    <t>Dialogo Ciudadano para la Construcción del PDD - UPL Teusaquillo</t>
  </si>
  <si>
    <t>IED Palermo - Cra. 23 # 49-37</t>
  </si>
  <si>
    <t>Diálogo Ciudadano Poblacional para la Construcción del PDD - Pueblo Raizal</t>
  </si>
  <si>
    <t>Recoger los aportes del pueblo raizal en el marco de la fase de aspiraciones comunes de la planeación participativa del Plan Distrital de Desarrollo</t>
  </si>
  <si>
    <t>Marcus Hooker</t>
  </si>
  <si>
    <t>Marcus.hooker@gobiernobogota.gov.co</t>
  </si>
  <si>
    <t>Aportes de la comunidad Raizal alrededor de la formulación del Plan Distrital de Desarrollo</t>
  </si>
  <si>
    <t>Dialogo Ciudadano para la Construcción del PDD - UPL Cuenca del Tunjuelo</t>
  </si>
  <si>
    <t>Propuestas para el PDD con enfoque Ruralidad.</t>
  </si>
  <si>
    <t>Jornada Pégate al Plan: Pedagogía ciudadana para el manejo de la herramienta chatico - Theatron</t>
  </si>
  <si>
    <t>Edison Rodriguez</t>
  </si>
  <si>
    <t>Calle 58 # 10-32</t>
  </si>
  <si>
    <t xml:space="preserve">Pedagogía Chatico CPL Usaquen </t>
  </si>
  <si>
    <t>Realizar un taller  con el CPL de la localidad de Usaquen sobre la herramienta chatico para la presentación de propuestas al PDD.</t>
  </si>
  <si>
    <t>https://meet.google.com/ohd-ddqw-zgd</t>
  </si>
  <si>
    <t>Pedagogía a los representantes del CPL Usaquen sobre el manejo de la herramienta Chatico para la presentación de propuestas  del PDD</t>
  </si>
  <si>
    <t>Dialogo Ciudadano para la Construcción del PDD - UPL Cerros Orientales - Altos de Serrezuela</t>
  </si>
  <si>
    <t>Narciso Moreno</t>
  </si>
  <si>
    <t xml:space="preserve">Altos de Serrezuela </t>
  </si>
  <si>
    <t>Salón Escuela Altos de Serrezuela</t>
  </si>
  <si>
    <t>Seguridad, servicios sociales y publicos, educacion, vivienda y gobernanza</t>
  </si>
  <si>
    <t>Dialogo Ciudadano para la Construcción del PDD - UPL Cerros Orientales - Manantial y El Triangulo</t>
  </si>
  <si>
    <t>Hector Alvarez</t>
  </si>
  <si>
    <t xml:space="preserve">Manantial y El Triangulo </t>
  </si>
  <si>
    <t>Salón Nodo de Biodiversidad Cerros Orientales Ecobarrio Manantial</t>
  </si>
  <si>
    <t>Propuestas al Plan Distrital de Desarrollo</t>
  </si>
  <si>
    <t>Jornada Pégate al Plan: Pedagogía ciudadana para el manejo de la herramienta chatico - Evento Gran Estación</t>
  </si>
  <si>
    <t>Ciudad Salitre Oriental</t>
  </si>
  <si>
    <t>Plazoleta principal Centro Comercial Gran Estación - Av. El Dorado con carrera 66</t>
  </si>
  <si>
    <t>Encuentro Estratégico - integrantes del proyecto "Incidir para existir"- Jovenes</t>
  </si>
  <si>
    <t>Formular propuestas para el PDD con el enfoque de juventud.</t>
  </si>
  <si>
    <t>Super CADE CAD Ave Cra 30 #25 - 90 Torre B, Bogotá</t>
  </si>
  <si>
    <t>Propuestas para el PDD con el enfoque de juventud</t>
  </si>
  <si>
    <t>Gestión: Documento Estrategia Participación Regalías y Plan de Acción</t>
  </si>
  <si>
    <t>Facilitar la socialización del documento a diseñar dentro del contexto de la estrategia de participación, así como realizar un seguimiento a las acciones proyectadas dentro del componente de regalias</t>
  </si>
  <si>
    <t>https://meet.google.com/tpv-iywc-kzz?authuser=0</t>
  </si>
  <si>
    <t>Plan de Acción de Regalías, Documento de la Estrategia y Evento de Audiencia para el 29 de abril</t>
  </si>
  <si>
    <t>Jornada Pégate al Plan: Pedagogía ciudadana para el manejo de la herramienta chatico - Universidad Nacional</t>
  </si>
  <si>
    <t>Nicolas Camilo Zorro</t>
  </si>
  <si>
    <t>Universidad Nacional Ave Cra 30 #45-3</t>
  </si>
  <si>
    <t xml:space="preserve">  Propuestas ciudadanas para la construcción del plan distrital de desarrollo</t>
  </si>
  <si>
    <t>Dialogo Ciudadano -Mesa de Víctimas Indígenas del Conflicto Armado</t>
  </si>
  <si>
    <t>Analizar las proupuestas de la Mesa en el marco del PDD</t>
  </si>
  <si>
    <t>Lorena Valbuena</t>
  </si>
  <si>
    <t>300 7457085</t>
  </si>
  <si>
    <t>alvalbuena@alcaldiabogota.gov.co</t>
  </si>
  <si>
    <t>Casa Indígena - Calle 9na</t>
  </si>
  <si>
    <t>Propuestas de la MIV al PDD</t>
  </si>
  <si>
    <t>Gestión: socialización ruta de trabajo grupos étnicos PDD al Concejal Oscar Bastidas</t>
  </si>
  <si>
    <t>Socializar la ruta de trabajo desarrollada con los grupos étnicos en Bogotá en el marco de la formulación del PDD</t>
  </si>
  <si>
    <t>Concejo de Bogotá (Calle 36 #28A-41)</t>
  </si>
  <si>
    <t>Ruta de la participación de los grupos étnicos en torno a la formulación del Plan Distrital de Desarrollo</t>
  </si>
  <si>
    <t>Vortako Consejo Consultivo Rrom</t>
  </si>
  <si>
    <t>Verificación del diligenciamiento de la matriz de armonización de los productos de Política Pública y Plan Distrital de Desarrollo.</t>
  </si>
  <si>
    <t>Claudio Rodriguez</t>
  </si>
  <si>
    <t>claudio.rodriguez@gobiernobogota.gov.co</t>
  </si>
  <si>
    <t>Vortako de verificación productos de politica pública en PDD</t>
  </si>
  <si>
    <t>Diálogo Ciudadano para la Construcción del PDD - UPL Usaquén</t>
  </si>
  <si>
    <t>Edelmira Pava</t>
  </si>
  <si>
    <t>jacbcgc@gmail.com</t>
  </si>
  <si>
    <t>Cedro Golf</t>
  </si>
  <si>
    <t>CARRERA 7A # 150 - 01 La Casona. Parque Cedro Golf</t>
  </si>
  <si>
    <t xml:space="preserve">Priorización y diligenciamiento de nuevas propuestas para la formulación del Plan Distrital de formulación dentro de los 5 objetivos estratégicos </t>
  </si>
  <si>
    <t>Dialogo Ciudadano para la Construcción del PDD - UPL Tintal</t>
  </si>
  <si>
    <t>Universitaria Uniagustiniana
Avenida Ciudad de Cali (Carrera 86) # 11b-95 Sede Tagaste</t>
  </si>
  <si>
    <t xml:space="preserve">Segunda fase de formulación del Plan Distristal de Desarrollo, recolección de propuestas, pedagogía de la plataforma chatico   </t>
  </si>
  <si>
    <t>Reunión Junta Directiva del CTPD</t>
  </si>
  <si>
    <t>Organización y solicitud de mesas de trabajo - Revisión de requerimientos y solicitudes de consejeros al correo del CTPD y Comité técnico de seguimiento - convenio con UNAD</t>
  </si>
  <si>
    <t>Liliana de los Ángeles Urrego Navarro</t>
  </si>
  <si>
    <t>https://meet.google.com/ypn-rvvz-hpm</t>
  </si>
  <si>
    <t>Organización y solicitud de mesas de trabajo , Revisión de requerimientos y solicitudes de consejeros al correo del CTPD , Comité técnico de seguimiento - convenio con UNAD</t>
  </si>
  <si>
    <t>Diálogo Ciudadano Poblacional para la Construcción del PDD - Vendedores informales</t>
  </si>
  <si>
    <t>Identificar las propuestas ciudadanas para la formulación del Plan Distrital de Desarrollo por parte de Vendedores Informalles</t>
  </si>
  <si>
    <t>Miguel Silva</t>
  </si>
  <si>
    <t>http://meet.google.com/yfy-sywk-kmk</t>
  </si>
  <si>
    <t>Propuestas para la formulación del PDD</t>
  </si>
  <si>
    <t>Jornada Pégate al Plan: Pedagogía ciudadana para el manejo de la herramienta chatico -Universidad UNINPAHU</t>
  </si>
  <si>
    <t>La soledad</t>
  </si>
  <si>
    <t>diagonal 40a #15-67 sede 23</t>
  </si>
  <si>
    <t>Identificación de las propuestas ciudadanas para la formulación del Plan de Desarrollo Distrital</t>
  </si>
  <si>
    <t>Jornada Pégate al Plan: Pedagogía ciudadana para el manejo de la herramienta chatico -Universidad UNAD</t>
  </si>
  <si>
    <t>William Hernan Jimenez Salgar</t>
  </si>
  <si>
    <t>rectoria@unad.edu.co</t>
  </si>
  <si>
    <t>Sede Nacional José Celestino Mutis, Barrio Restrepo Calle 14 Sur # 14 – 23 Edificio inteligente 2 piso.</t>
  </si>
  <si>
    <t>Objetivos Plan Distrital de Desarrollo, Recolección propuestas</t>
  </si>
  <si>
    <t xml:space="preserve">II Diálogo Ciudadano Poblacional para la Construcción del PDD - Consultiva Indígena </t>
  </si>
  <si>
    <t xml:space="preserve">Recoger los aportes de los Pueblos Indígenas en el marco de la fase de aspiraciones comunes de la planeacion participativa del Plan Distrital de Desarrollo </t>
  </si>
  <si>
    <t>María.chindoy@gobiernobogota.gov.co</t>
  </si>
  <si>
    <t>Casa de Pensamiento Indígena (Calle 9#9-60)</t>
  </si>
  <si>
    <t>Plan Distrital de Desarrollo; Consultiva de Pueblos Insigenss; Conpes 37</t>
  </si>
  <si>
    <t>Pedagogía ciudadana para el manejo de la herramienta chatico -JAL Usaquén</t>
  </si>
  <si>
    <t>Realizar un espacio pedagógico con la JAL de la localidad de Usaquén sobre la herramienta Chatico para participar en la formulación del PDD.</t>
  </si>
  <si>
    <t>Andrés Ardilla</t>
  </si>
  <si>
    <t>andresfel.ardila@urosario.edu.co</t>
  </si>
  <si>
    <t xml:space="preserve">Calle 123 # 7 - 51 Oficina 507 Sede JAL Usaquén </t>
  </si>
  <si>
    <t xml:space="preserve">Fases para la estrategia de participación del PDD, explicación de los 5 objetivos estratégicos  sus programas,  preguntas y respuestas del proceso adelantado por la SDP </t>
  </si>
  <si>
    <t>Pedagogía ciudadana para el manejo de la herramienta chatico -JAL  Kennedy</t>
  </si>
  <si>
    <t>Presentar la propuesta de formulación del PDD</t>
  </si>
  <si>
    <t>sin información</t>
  </si>
  <si>
    <t>Sin Información</t>
  </si>
  <si>
    <t>JAL.kennedy@gobiernobogota.gov.co</t>
  </si>
  <si>
    <t>Alcaldía Local de Kennedy- Transversal 78k # 41a 04 sur</t>
  </si>
  <si>
    <t>Fase de la  formulación del PDD</t>
  </si>
  <si>
    <t>Diálogo Ciudadano para la Construcción del PDD -  Veedurías Ciudadanas</t>
  </si>
  <si>
    <t>Organización o veeduría ciudadana</t>
  </si>
  <si>
    <t>Casa de Control Social Avenida 32 No. 16-87</t>
  </si>
  <si>
    <t>Objetivos del PDD, priorización propuestas chatico</t>
  </si>
  <si>
    <t xml:space="preserve">Diálogo Ciudadano para la Construcción del PDD - UPL San Cristóbal </t>
  </si>
  <si>
    <t xml:space="preserve">San Cristobal </t>
  </si>
  <si>
    <t xml:space="preserve"> Salón comunal Barrio Granada Sur - Cra. 2 Este #20A Sur</t>
  </si>
  <si>
    <t>Capacitación Chatico - Jornadas Pegate al Plan</t>
  </si>
  <si>
    <t>Capacitar al equipo de IDIPRON en la herramienta chatico para el desarrollo de Jornadas Pégate al Plan</t>
  </si>
  <si>
    <t>Yolanda Calderón</t>
  </si>
  <si>
    <t>ycalderon@sdp.gov.c</t>
  </si>
  <si>
    <t>https://meet.google.com/kse-uupn-bcu</t>
  </si>
  <si>
    <t>Pedagogía Herramienta Chatico</t>
  </si>
  <si>
    <t>Jose H. Pedraza</t>
  </si>
  <si>
    <t>hpedraza@participacionbogota.gov.co</t>
  </si>
  <si>
    <t xml:space="preserve">Teusaquillo </t>
  </si>
  <si>
    <t>Transversal 18 bis # 38-41</t>
  </si>
  <si>
    <t>Plan de acción de la instancia: IDPAC y Encuentros Ciudadanos: A. Local</t>
  </si>
  <si>
    <t>Jornada Pégate al Plan: Pedagogía ciudadana para el manejo de la herramienta chatico -Toma chatico a la Konrad</t>
  </si>
  <si>
    <t>fundación universitaria Konrad Lorenz 
Carrera 9 bis # 68-43</t>
  </si>
  <si>
    <t>Pedagógia del PDD, Uso de la herramienta chatico</t>
  </si>
  <si>
    <t>Diálogo ciudadano Participación en el PDD (programa radial)</t>
  </si>
  <si>
    <t>Rendición de Cuentas - GAB</t>
  </si>
  <si>
    <t>Rendir cuentas sobre el avance del proceso de participación en el marco del PDD</t>
  </si>
  <si>
    <t>Melina Solano</t>
  </si>
  <si>
    <t>msolano@sdp.gov.co</t>
  </si>
  <si>
    <t>Universidad Konrad Lorenz Calle 62 # 9-43</t>
  </si>
  <si>
    <t>rendir cuentas sobre resultados estrategia de participación, avances de gestión, actores participantes, Chatico, ruta del PDD</t>
  </si>
  <si>
    <t>Comite Tecnico- CTPD</t>
  </si>
  <si>
    <t>Realizar el seguimiento al convenio 339 de 2024</t>
  </si>
  <si>
    <t>presidentactpd2024@gmail.com</t>
  </si>
  <si>
    <t>Carrera 30 No. 25 - 90- Super CAD piso 2</t>
  </si>
  <si>
    <t>Seguimiento al convenio 339 de 2024</t>
  </si>
  <si>
    <t>Diálogo Ciudadano Población Migrante</t>
  </si>
  <si>
    <t>Recolectar las propuestas de la población migrante en torno a la formulación del Plan Distrital de Desarrollo</t>
  </si>
  <si>
    <t>Juan Pablo II</t>
  </si>
  <si>
    <t>Cra. 18q #68 Sur-10 a 68 Sur-42 (Plazoleta del Sapo, Barrio Juan Pablo II)</t>
  </si>
  <si>
    <t xml:space="preserve">Recolección de propuestas alrededor de los 5 objetivos estratégicos del Plan Distrital de Desarrollo </t>
  </si>
  <si>
    <t>Acompañar la articulación de los esfuerzos institucionales de participación en la localidad de Antonio Nariño</t>
  </si>
  <si>
    <t>Alcaldía Local de Antonio Nariño - Cl 17 Sur #18-49</t>
  </si>
  <si>
    <t>Proceso de Participación PDD, Encuentros ciudadanos para la estructuración de los Planes de Desarrollo Locales</t>
  </si>
  <si>
    <t>Definir encuentros ciudadanos y plan de acción 2024</t>
  </si>
  <si>
    <t>Reina esperanza</t>
  </si>
  <si>
    <t>Quiroga</t>
  </si>
  <si>
    <t>Calle 32sur 23 62</t>
  </si>
  <si>
    <t>Metodologia Encuentros Ciudadanos y Rendición de cuentas</t>
  </si>
  <si>
    <t>Pedagogía Chatico - Comisión Local de Movilidad de Suba</t>
  </si>
  <si>
    <t xml:space="preserve"> Socializar el  PDD ,  explicar el uso de Chatico</t>
  </si>
  <si>
    <t>Consejo Local</t>
  </si>
  <si>
    <t>Consejo Local de Movilidad de Suba</t>
  </si>
  <si>
    <t>Calle 146 C Bis No. 90 - 57</t>
  </si>
  <si>
    <t>Socialización PDD y Chatico</t>
  </si>
  <si>
    <t>Acompañar la articulación de los esfuerzos institucionales de participación en la localidad de Bosa</t>
  </si>
  <si>
    <t>Marcela Tinoco</t>
  </si>
  <si>
    <t>Bosa Centro</t>
  </si>
  <si>
    <t>Casa de la participación Bosa - Tv. 87c #59 10, Bogotá</t>
  </si>
  <si>
    <t xml:space="preserve">Fases PDD y encuentros ciudadanos </t>
  </si>
  <si>
    <t>Reunion con Secretaría de Cultura, Recreación y Deporte</t>
  </si>
  <si>
    <t>Establecer parámetros de la estrategia de comunicaciones del PDD</t>
  </si>
  <si>
    <t>meet.google.com/gzy-qwdn-sdn</t>
  </si>
  <si>
    <t>Estrategia de Participación del Plan de Desarrollo por fases, y la fecha de la culminación de la segunda fase: Aspiraciones Comunes</t>
  </si>
  <si>
    <t>Socialización de proyecto de Decreto AE Distrito Aeroportuario</t>
  </si>
  <si>
    <t>Acompañar la socialización del proyecto de Decreto de adopción para la AEDA y recibir aportes de líderes comunitarios para la formulación del instrumento</t>
  </si>
  <si>
    <t>Santiago Carvajal</t>
  </si>
  <si>
    <t>scarvajal@sdp.gov.co</t>
  </si>
  <si>
    <t>Sabanas del Dorado - Álamos</t>
  </si>
  <si>
    <t>Socialización del proyecto de Decreto de adopción para la AEDA</t>
  </si>
  <si>
    <t>Diálogo Ciudadano para la construcción de PDD - Organizaciones de defensa de derechos de la población migrante</t>
  </si>
  <si>
    <t>Recolectar las propuestas y recomendaciones de las organizaciones no gubernamentales en pro de los derechos de la población migrante internacional en el marco de la formulación del Plan Distrital de Desarrollo</t>
  </si>
  <si>
    <t>plazassa@unhcr.or</t>
  </si>
  <si>
    <t>Carrera 30 #25-90 (Segundo piso CAD)</t>
  </si>
  <si>
    <t>Recolección de propuestas y recomendaciones a los sectores sobre las metas del PDD</t>
  </si>
  <si>
    <t>III Diálogo Ciudadano para la construcción de PDD - Consultiva Indigena</t>
  </si>
  <si>
    <t xml:space="preserve">Recoger los aportes de los Pueblos Indígenas en el marco de aspiraciones comunes para la planeación participativa del Plan Distrital de Desarrollo. </t>
  </si>
  <si>
    <t xml:space="preserve">Calle 9#9-60 Casa de Pensamiento Indígena </t>
  </si>
  <si>
    <t>Plan distrital de desarrollo: Consultiva de Pueblos Indigenas</t>
  </si>
  <si>
    <t>Mesa Directiva CTPD</t>
  </si>
  <si>
    <t xml:space="preserve">
Propuesta para mesas técnicas de trabajo - Presentación ante la mesa directiva de y solicitudes de inclusión de sectores en el CTPD (voluntarios, jueces de paz y otros).</t>
  </si>
  <si>
    <t xml:space="preserve">
https://meet.google.com/awb-sjgw-yxf</t>
  </si>
  <si>
    <t>Propuesta para mesas técnicas de trabajo - Presentación ante la mesa directiva de y solicitudes de inclusión de sectores en el CTPD (voluntarios, jueces de paz y otros).</t>
  </si>
  <si>
    <t>Jornada Pégate al Plan: Pedagogía ciudadana para el manejo de la herramienta chatico - Supercade CAD</t>
  </si>
  <si>
    <t>Jennyfert Johana Martínez Aranda</t>
  </si>
  <si>
    <t>jmartineza@sdp.gov.co</t>
  </si>
  <si>
    <t>Carrera 30 #  25 - 90</t>
  </si>
  <si>
    <t>Identificación de nuevas propuesta y priorización de propuestas en el marco de la formulación del PDD</t>
  </si>
  <si>
    <t>Jornada Pégate al Plan: Pedagogía ciudadana para el manejo de la herramienta chatico - Alcaldia Teusaquillo</t>
  </si>
  <si>
    <t>Transversal 18 Bis #38-41</t>
  </si>
  <si>
    <t xml:space="preserve"> Pedagogía ciudadana para el manejo de la herramienta chatico - Alcaldia Teusaquillo</t>
  </si>
  <si>
    <t>Jornada Pégate al Plan: Pedagogía ciudadana para el manejo de la herramienta chatico - Movistar Arena</t>
  </si>
  <si>
    <t>Sebastián Pulido</t>
  </si>
  <si>
    <t>sebastian.pulido@movistararena.co</t>
  </si>
  <si>
    <t>Movistar Arena - Diagonal 61c #26-36</t>
  </si>
  <si>
    <t>Pedagogía sobre Plan Distrital de Desarrollo; Priorización de propuestas</t>
  </si>
  <si>
    <t>Jornada Pégate al Plan: Pedagogía ciudadana para el manejo de la herramienta chatico - Universidad Católica</t>
  </si>
  <si>
    <t>Victor Manuel Díaz</t>
  </si>
  <si>
    <t>(601)4433700 Ext: 3093</t>
  </si>
  <si>
    <t>vmdiaz@ucatolica.edu.co</t>
  </si>
  <si>
    <t>Universidad Católica Sede 4, Carrera 13 # 47 - 49</t>
  </si>
  <si>
    <t>Aplicar Chatico para recoger aporte de Plan Distrital de Desarrollo</t>
  </si>
  <si>
    <t xml:space="preserve">Compartir entre las entidades cabezas de sector los avances y retos de la aplicación de la segunda fase de la estrategia de participación del PDD: “Aspiraciones Comunes”  </t>
  </si>
  <si>
    <t>https://meet.google.com/auw-crpn-xog</t>
  </si>
  <si>
    <t>Reporte de participación en Chatico a corte del 11 de abril, Reporte por entidad en el desarrollo de las actividades y almacenamiento de evidencias</t>
  </si>
  <si>
    <t>Jornada Pégate al Plan: Pedagogía ciudadana para el manejo de la herramienta chatico - Audiencia de Rendición de Cuentas 2023 - FDL Kennedy</t>
  </si>
  <si>
    <t>Aplicar el instrumento de fase II  en el marco de la Audiencia Pública de Rendición de Cuentas 2023</t>
  </si>
  <si>
    <t>Rocío del Pilar Fajardo Vargas</t>
  </si>
  <si>
    <t xml:space="preserve">Kennedy </t>
  </si>
  <si>
    <t xml:space="preserve">Tv 78k No 41a - 04 Sur </t>
  </si>
  <si>
    <t xml:space="preserve">Metas cumplidas, indicadores, presupuestos. </t>
  </si>
  <si>
    <t>Reunión Pueblo Muisca para recepción de sus propuestas en torno al PDD</t>
  </si>
  <si>
    <t>Realizar reunión con los Cabildos Muiscas de Suba y Bosa con la finalidad de recibir sus propuestas para el Plan Distrital de Desarrollo.</t>
  </si>
  <si>
    <t>Yeisson Triviño</t>
  </si>
  <si>
    <t>cabildomuiscasuba@gmail.com</t>
  </si>
  <si>
    <t>Cabildos Muiscas de Suba y Bosa</t>
  </si>
  <si>
    <t>Posa Wiwa Carrera 3 #10-72</t>
  </si>
  <si>
    <t xml:space="preserve">Plan Distrital de Desarrollo; Plan de Vida Muisca </t>
  </si>
  <si>
    <t>Articulación intersectorial para las Asambleas Ciudadanas</t>
  </si>
  <si>
    <t>Asambleas Ciudadanas Colaborativas</t>
  </si>
  <si>
    <t>Articular acciones entre sociedad civil, GAB e IDPAC para realizar las Asambleas ciudadanas.</t>
  </si>
  <si>
    <t>Felipe Rey</t>
  </si>
  <si>
    <t>reyfelipe@gmail.com</t>
  </si>
  <si>
    <t>https://meet.google.com/dte-mwcz-phr?authuser=3</t>
  </si>
  <si>
    <t>Articulación con GAB, IDPAC, organizaciones sociales y SDP, para gestionar asambleas ciudadanas</t>
  </si>
  <si>
    <t>Identificar Mesas de trabajo en el marco del  PDD</t>
  </si>
  <si>
    <t>Mesas de trabajo CTPD y Distrito Capital para el PDD</t>
  </si>
  <si>
    <t>Jornada Pégate al Plan: Pedagogía ciudadana para el manejo de la herramienta chatico  - Rendición de Cuentas Alcaldía Local de Rafael Uribe Uribe</t>
  </si>
  <si>
    <t>Aplicación de Chatico a los asistentes de la rendición de cuentas.</t>
  </si>
  <si>
    <t>Carlos Castillo</t>
  </si>
  <si>
    <t>310 2558764</t>
  </si>
  <si>
    <t>Alexander.castillo@gobiernobogota.gov.co</t>
  </si>
  <si>
    <t>Colegio Enrique Olaya Herrera</t>
  </si>
  <si>
    <t>presentar iniciativas a través de la plataforma Chatico</t>
  </si>
  <si>
    <t>Mesa de trabajo Comisión Poblacional- CTPD</t>
  </si>
  <si>
    <t>Realizar mesas de trabajo entre el CTPD y la Administración Distrital con el propósito de discutir el concepto del PDD.</t>
  </si>
  <si>
    <t>Jacqueline Hérnandez</t>
  </si>
  <si>
    <t>Secretaría Distrital de Planeación ( Carrera 30 #25-90) - CTPD</t>
  </si>
  <si>
    <t>Propuestas prioritarias del concepto técnico PDD - Objetivo 2</t>
  </si>
  <si>
    <t>Identificar las propuestas ciudadanas para la formulación del Plan Distrital de Desarrollo</t>
  </si>
  <si>
    <t>Jennifert Martinez</t>
  </si>
  <si>
    <t>Avenida Carrera 30 # 25-90</t>
  </si>
  <si>
    <t>Plan Distrital de desarrollo y sus cinco objetivos</t>
  </si>
  <si>
    <t>Diálogo Ciudadano Población con Discapacidad Visual para la construcción del PDD</t>
  </si>
  <si>
    <t>Recolectar las propuestas de la población con discapacidad visual en la fase de ""Aspiraciones Comunes"" en el marco de la planeación participativa del Plan de Desarrollo Distrital</t>
  </si>
  <si>
    <t xml:space="preserve">Calle 2A 24-47 </t>
  </si>
  <si>
    <t xml:space="preserve">Formulación del PDD, objetivos, programas, acciones y propuestas. </t>
  </si>
  <si>
    <t xml:space="preserve">Gestión: Reunión con Autoridades Indígenas de Bakatá -AIB y SDG para la construcción del PDD </t>
  </si>
  <si>
    <t>Dar trámite a la solicitud por parte de Otras Formas Organizativas denominadas Autoridades Indígenas de Bakata (AIB) en la armonización de un diálogo participativo en el marco del nuevo Plan de Desarrollo.</t>
  </si>
  <si>
    <t>Arley Pastas</t>
  </si>
  <si>
    <t>hesvar.pastas@gobiernobogota.gov.co</t>
  </si>
  <si>
    <t xml:space="preserve">Calle 11 No. 8-17  </t>
  </si>
  <si>
    <t xml:space="preserve">PDD; otras formas de gobierno; autoridades indígenas </t>
  </si>
  <si>
    <t>Reunión Líder stonewall</t>
  </si>
  <si>
    <t>Política Pública LGBTI</t>
  </si>
  <si>
    <t>Realizar articulación y apoyo a evento, en cumplimiento al plan de acción de la política pública LGBTI</t>
  </si>
  <si>
    <t>Nehemias Gómez</t>
  </si>
  <si>
    <t>nemias.gomez.investigador@gmail.com</t>
  </si>
  <si>
    <t>Secretaría Distrital de Planeación, Ave Cra 30 #25-90</t>
  </si>
  <si>
    <t xml:space="preserve">Articulación para apoyo a la organización stonewall dando cumplimiento al plan de acción de la política pública LGBTI </t>
  </si>
  <si>
    <t>Capacitación virtual Plan Plurianual de Inversiones PDD</t>
  </si>
  <si>
    <t>Capacitar  virtualmente sobre el  Plan Plurianual de Inversiones PDD  a funcionarios del distrito que implementarán Audiencias Públicas</t>
  </si>
  <si>
    <t>https://tel.meet/ygg-mrdx-ifi?pin=5752820655403</t>
  </si>
  <si>
    <t>Capacitación para las audiencias públicas del plan plurianual de inversiones con la SDP y entidades de apoyo</t>
  </si>
  <si>
    <t>CLIP - Puente Aranda</t>
  </si>
  <si>
    <t>Auditorio del primer piso de la Alcaldía - Cl. 4 #31D-30</t>
  </si>
  <si>
    <t xml:space="preserve">Dialogos Ciudadanos, Herramienta Chatico e informe de propuestas, Audiencia Publica de Plan Plurianual </t>
  </si>
  <si>
    <t>Política Pública de Ruralidad y su Plan de Acción</t>
  </si>
  <si>
    <t>Política Pública de Ruralidad</t>
  </si>
  <si>
    <t xml:space="preserve">Socializar las generalidades conceptuales, metodológicas y programáticas de la Política PUblica de Ruralidad y su Plan de Acción. </t>
  </si>
  <si>
    <t>Betania</t>
  </si>
  <si>
    <t>Alcaldía Local de Sumapaz (Betania)</t>
  </si>
  <si>
    <t>Socialización de las generalidades de la Política Pública de Ruralidad.</t>
  </si>
  <si>
    <t>Reunión Preparatoria Audiencia PPI - Sumapaz I</t>
  </si>
  <si>
    <t xml:space="preserve">Brindar lineamientos para el desarrollo de la Audiencia PPI - Localidad Sumapaz rio cuenca sumapaz </t>
  </si>
  <si>
    <t>https://meet.google.com/tck-bgag-crs</t>
  </si>
  <si>
    <t>Plan Plurianual de Inversiones; Audiencia pública de Sumapaz PPI; Metodología de participación para la socialización del PPI; Roles</t>
  </si>
  <si>
    <t>Reunión Preparatoria Audiencia PPI - Sumapaz II</t>
  </si>
  <si>
    <t>Brindar lineamientos para el desarrollo de la Audiencia PPI - Localidad Sumapaz rio cuenca Blanco</t>
  </si>
  <si>
    <t>Plan Plurianual de Inversiones; Audiencia pública de Sumapaz II PPI; Metodología de participación para la socialización del PPI; Roles</t>
  </si>
  <si>
    <t>Reunión Preparatoria Audiencia PPI - Suba</t>
  </si>
  <si>
    <t>Brindar lineamientos para el desarrollo de la Audiencia PPI - Localidad Suba</t>
  </si>
  <si>
    <t>Miguel Chiappe</t>
  </si>
  <si>
    <t>304 5643837</t>
  </si>
  <si>
    <t>meet.google.com/udc-eudz-sjf</t>
  </si>
  <si>
    <t>Metodología para la Audiencia PPI de Suba</t>
  </si>
  <si>
    <t>Reunión Preparatoria Audiencia PPI - Ciudad Bolívar</t>
  </si>
  <si>
    <t>Brindar lineamientos para el desarrollo de la Audiencia PPI - Localidad Ciudad Bolívar</t>
  </si>
  <si>
    <t>Pilar Montagut</t>
  </si>
  <si>
    <t>312 3050160</t>
  </si>
  <si>
    <t>pmontagut@sdp.gov.co</t>
  </si>
  <si>
    <t>https://meet.google.com/bub-tchw-ygj</t>
  </si>
  <si>
    <t>Agenda y metodología para la Audiencia PPI de Ciudad Bolivar</t>
  </si>
  <si>
    <t>Reunión Preparatoria Audiencia PPI - Puente Aranda</t>
  </si>
  <si>
    <t>Brindar lineamientos para el desarrollo de la Audiencia PPI - Localidad Puente Aranda</t>
  </si>
  <si>
    <t>https://meet.google.com/oda-kism-azq</t>
  </si>
  <si>
    <t>Metodología audiencia pública plan plurianual de inversión</t>
  </si>
  <si>
    <t>Reunión Preparatoria Audiencia PPI - Kennedy</t>
  </si>
  <si>
    <t>Brindar lineamientos para el desarrollo de la Audiencia PPI - Localidad Kennedy</t>
  </si>
  <si>
    <t>https://meet.google.com/dxp-qkzf-ieh</t>
  </si>
  <si>
    <t>Metodología, trabajo en mesas y priorización de inversión de programas.</t>
  </si>
  <si>
    <t>Reunión Preparatoria Audiencia PPI - Engativa</t>
  </si>
  <si>
    <t>Brindar lineamientos para el desarrollo de la Audiencia PPI - Localidad Engativa</t>
  </si>
  <si>
    <t>https://meet.google.com/uyu-nhid-jqg?hs=224</t>
  </si>
  <si>
    <t>Plan Plurianual de Inversiones; Audiencia pública de Engativa PPI; Metodología de participación para la socialización del PPI; Roles</t>
  </si>
  <si>
    <t>Reunión Preparatoria Audiencia PPI - Rafael Uribe Uribe</t>
  </si>
  <si>
    <t>Brindar lineamientos para el desarrollo de la Audiencia PPI - Localidad Rafael Uribe Uribe</t>
  </si>
  <si>
    <t>Sergio Layton</t>
  </si>
  <si>
    <t>slaiton@sdp.gov.co</t>
  </si>
  <si>
    <t>https://meet.google.com/kqm-ahaa-ket</t>
  </si>
  <si>
    <t>Plan Plurianual de Inversiones; Audiencia pública de Rafael Uribre Uribe PPI; Metodología de participación para la socialización del PPI; Roles</t>
  </si>
  <si>
    <t>Reunión Preparatoria Audiencia PPI - Antonio Nariño</t>
  </si>
  <si>
    <t>Brindar lineamientos para el desarrollo de la Audiencia PPI - Localidad Antonio Nariño</t>
  </si>
  <si>
    <t>Angelica Hernandez</t>
  </si>
  <si>
    <t>https://meet.google.com/zss-jgkc-rzv?authuser=0</t>
  </si>
  <si>
    <t>Plan Plurianual de Inversiones; Audiencia pública de Antonio Nariño PPI; Metodología de participación para la socialización del PPI; Roles</t>
  </si>
  <si>
    <t xml:space="preserve">Reunión Preparatoria Audiencia PPI - Fontibón </t>
  </si>
  <si>
    <t>Brindar lineamientos para el desarrollo de la Audiencia PPI - Localidad Fontibon</t>
  </si>
  <si>
    <t>https://meet.google.com/yrk-gfow-jtu?authuser=0</t>
  </si>
  <si>
    <t>Plan Plurianual de Inversiones; Audiencia pública de Fontibón PPI; Metodología de participación para la socialización del PPI; Roles</t>
  </si>
  <si>
    <t>Reunión Preparatoria Audiencia PPI - Tunjuelito</t>
  </si>
  <si>
    <t>Brindar lineamientos para el desarrollo de la Audiencia PPI - Localidad Tunjuelito</t>
  </si>
  <si>
    <t>Fabián Sanchez Rojas</t>
  </si>
  <si>
    <t>anavarrete@participacionbogota.gov.co</t>
  </si>
  <si>
    <t>https://meet.google.com/inb-qpjo-ski</t>
  </si>
  <si>
    <t>Plan Plurianual de Inversiones; Audiencia pública de Tunjuelito PPI; Metodología de participación para la socialización del PPI; Roles</t>
  </si>
  <si>
    <t>Reunión Preparatoria Audiencia PPI - Bosa</t>
  </si>
  <si>
    <t>Brindar lineamientos para el desarrollo de la Audiencia PPI - Localidad Bosa</t>
  </si>
  <si>
    <t>Fanny Chaparro</t>
  </si>
  <si>
    <t>fchaparro@sdp.gov.co</t>
  </si>
  <si>
    <t xml:space="preserve"> https://meet.google.com/mge-zsxj-ivc</t>
  </si>
  <si>
    <t>Plan Plurianual de Inversiones; Audiencia pública de Bosa PPI; Metodología de participación para la socialización del PPI; Roles</t>
  </si>
  <si>
    <t>Reunión Preparatoria Audiencia PPI - San Cristobal</t>
  </si>
  <si>
    <t>Brindar lineamientos para el desarrollo de la Audiencia PPI - Localidad San Cristobal</t>
  </si>
  <si>
    <t>Catalina</t>
  </si>
  <si>
    <t xml:space="preserve">San Cristóbal </t>
  </si>
  <si>
    <t>https://meet.google.com/uhe-rjjx-tex</t>
  </si>
  <si>
    <t>Agenda y metodología para la Audiencia PPI de San Cristobal</t>
  </si>
  <si>
    <t>Reunión Preparatoria Audiencia PPI -  Los Mártires</t>
  </si>
  <si>
    <t>Brindar lineamientos para el desarrollo de la Audiencia PPI - Localidad Mártires</t>
  </si>
  <si>
    <t>300 4458788</t>
  </si>
  <si>
    <t>https://meet.google.com/kqw-wtxz-fke</t>
  </si>
  <si>
    <t>Plan Plurianual de Inversiones; Audiencia pública de Los Martires PPI; Metodología de participación para la socialización del PPI; Roles</t>
  </si>
  <si>
    <t>CLIP Kennedy</t>
  </si>
  <si>
    <t>Acompañar la articulación de los esfuerzos institucionales de participación en la localidad de Kennedy</t>
  </si>
  <si>
    <t>Cristian Villarreal</t>
  </si>
  <si>
    <t xml:space="preserve">Transversal 78K No. 41A-04 Sur (Alcaldía Local de Kennedy) </t>
  </si>
  <si>
    <t>Encuentros ciudadanos Alcaldía Local de Kennedy.Programa Jóvenes en Paz. Fase  II Plan Distrital de Desarrollo y Politica pública de participación.</t>
  </si>
  <si>
    <t>Primer comité de participación ciudadana - Proyecto Manzana del cuidado del Porvenir Gibraltar</t>
  </si>
  <si>
    <t>Acompañar el primer comité de participación ciudadana del contrato de la Manzana del cuidado del Porvenir (Gibraltar) en donde se informaran aspectos importantes sobre el avance del proyecto.</t>
  </si>
  <si>
    <t>Cra 90 A # 45 A - 15 Sur (Conjunto Compartir La Margarita III)</t>
  </si>
  <si>
    <t xml:space="preserve">Avances en contenido ambiental, fauna, seguridad y salud en el trabajo; y social. </t>
  </si>
  <si>
    <t>Reunión Preparatoria Audiencia PPI -  Santa Fé</t>
  </si>
  <si>
    <t>Brindar lineamientos para el desarrollo de la Audiencia PPI - Localidad Santa Fé</t>
  </si>
  <si>
    <t>https://meet.google.com/age-bhxg-vst</t>
  </si>
  <si>
    <t>Plan Plurianual de Inversiones; Audiencia pública de Santa Fe PPI; Metodología de participación para la socialización del PPI; Roles</t>
  </si>
  <si>
    <t>Reunión Preparatoria Audiencia PPI - Usaquén</t>
  </si>
  <si>
    <t xml:space="preserve">Brindar lineamientos para el desarrollo de la Audiencia PPI - Localidad Usaquén </t>
  </si>
  <si>
    <t>Olga Lucia Serrano</t>
  </si>
  <si>
    <t>olgalserranof@gmail.com</t>
  </si>
  <si>
    <t xml:space="preserve">Escuela de Infanteria </t>
  </si>
  <si>
    <t>https://meet.google.com/ave-dknh-acq</t>
  </si>
  <si>
    <t>Plan Plurianual de Inversiones; Audiencia pública de Usaquen PPI; Metodología de participación para la socialización del PPI; Roles</t>
  </si>
  <si>
    <t>Reunión Preparatoria Audiencia PPI - Teusaquillo</t>
  </si>
  <si>
    <t>Brindar lineamientos para el desarrollo de la Audiencia PPI - Localidad Teusaquillo</t>
  </si>
  <si>
    <t>Eva Rocío Morales</t>
  </si>
  <si>
    <t>Eva.morales@gobiernobogota.gov.co</t>
  </si>
  <si>
    <t>meet.google.com/mev-ebex-iex</t>
  </si>
  <si>
    <t>Plan Plurianual de Inversiones; Audiencia pública de Teusaquillo  PPI; Metodología de participación para la socialización del PPI; Roles</t>
  </si>
  <si>
    <t>Reunión Preparatoria Audiencia PPI - La Candelaria</t>
  </si>
  <si>
    <t>Brindar lineamientos para el desarrollo de la Audiencia PPI - Localidad La Candelaria</t>
  </si>
  <si>
    <t>Monica Andrea Leal Diaz</t>
  </si>
  <si>
    <t>monica.leal@gobiernobogota.gov.co</t>
  </si>
  <si>
    <t xml:space="preserve">La Candelaria </t>
  </si>
  <si>
    <t xml:space="preserve">https://meet.google.com/ksh-kacg-dsd </t>
  </si>
  <si>
    <t>Plan Plurianual de Inversiones; Audiencia pública de La Candelaria PPI; Metodología de participación para la socialización del PPI; Roles</t>
  </si>
  <si>
    <t>Reunión Preparatoria Audiencia PPI - Usme</t>
  </si>
  <si>
    <t>Brindar lineamientos para el desarrollo de la Audiencia PPI - Localidad Usme</t>
  </si>
  <si>
    <t>Carlos Alberto Castañeda Castrillón</t>
  </si>
  <si>
    <t>cacastaneda@sdp.gov.co</t>
  </si>
  <si>
    <t>El Virrey, Usme</t>
  </si>
  <si>
    <t>meet.google.com/jyg-ddyn-eko</t>
  </si>
  <si>
    <t>Plan Plurianual de Inversiones; Audiencia pública de Usme PPI; Metodología de participación para la socialización del PPI; Roles</t>
  </si>
  <si>
    <t>Reunión Preparatoria Audiencia PPI - Barrios Unidos</t>
  </si>
  <si>
    <t>Brindar lineamientos para el desarrollo de la Audiencia PPI - Localidad  Barrios Unidos</t>
  </si>
  <si>
    <t>Sin informacion</t>
  </si>
  <si>
    <t xml:space="preserve">Barrios Unidos </t>
  </si>
  <si>
    <t>meet.google.com/nsm-epxn-byp</t>
  </si>
  <si>
    <t>Plan Plurianual de Inversiones; Audiencia pública de Barrios Unidos PPI; Metodología de participación para la socialización del PPI; Roles</t>
  </si>
  <si>
    <t>Segunda reunión Preparatoria Audiencia PPI - Puente Aranda</t>
  </si>
  <si>
    <t>https://meet.google.com/zim-yktg-hvh</t>
  </si>
  <si>
    <t xml:space="preserve">Metodología audiencia pública plan plurianual de inversión </t>
  </si>
  <si>
    <t>Segunda reunión Preparatoria Audiencia PPI - Chapinero</t>
  </si>
  <si>
    <t>Brindar lineamientos para el desarrollo de la Audiencia PPI - Localidad Chapinero</t>
  </si>
  <si>
    <t>https://meet.google.com/yue-hyog-zdk</t>
  </si>
  <si>
    <t>Plan Plurianual de Inversiones; Audiencia pública de Chapienro PPI; Metodología de participación para la socialización del PPI; Roles</t>
  </si>
  <si>
    <t>Segunda capacitación - Audiencias Plan Plurianual de Inversiones</t>
  </si>
  <si>
    <t>Reforzar la capacitación a directivos y líderes OPDC responsables de las audiencias el plan plurianual de inversiones</t>
  </si>
  <si>
    <t>https://meet.google.com/iez-npad-qem</t>
  </si>
  <si>
    <t>Capacitación para las audiencias del plan plurianual de inversiones</t>
  </si>
  <si>
    <t>Encuentro ciudadano Cabildo Muisca de Suba</t>
  </si>
  <si>
    <t>Acompañar al Cabildo Muisca de Suba en la realización del encuentro ciudadano en relación del Plan Distrital de Desarrollo.</t>
  </si>
  <si>
    <t>Adriana Martinez</t>
  </si>
  <si>
    <t>Cabildo Indígena Muisca de Suba</t>
  </si>
  <si>
    <t>Carrera 86A n.º 145-50 Parque Mirador de los Nevados</t>
  </si>
  <si>
    <t xml:space="preserve">Plan Distrital de Desarrollo; Plan de Desarrollo Local; Pueblo Muisca; </t>
  </si>
  <si>
    <t>Audiencia PPI-Formulación PDD- Localidad Ciudad Bolívar</t>
  </si>
  <si>
    <t>Promover la información sobre la formulación del Plan Plurianual de Inversiones de Bogotá, para que la ciudadanía interesada pueda realizar propuestas de priorización de las inversiones,</t>
  </si>
  <si>
    <t xml:space="preserve">Avenida calle 61 sur # 59b - 43 sur Casa de la cultura de Ciudad Bolívar </t>
  </si>
  <si>
    <t>Plan Plurianual de Inversiones , Priorización de presupuestos, programas, estrategias y objetivos del PDD</t>
  </si>
  <si>
    <t>Audiencia PPI-Formulación PDD- Localidad Usaquén</t>
  </si>
  <si>
    <t>No especifica</t>
  </si>
  <si>
    <t xml:space="preserve">Universidad Militar- auditorio Esteban Jaramillo ,torre B, Kr 11 # 101 - 80 </t>
  </si>
  <si>
    <t>Audiencia PPI-Formulación PDD- Localidad Chapinero</t>
  </si>
  <si>
    <t>Federico Ballesteros</t>
  </si>
  <si>
    <t>federico.santiago@gobiernobogota.gov.co</t>
  </si>
  <si>
    <t>Barrio Chapinero</t>
  </si>
  <si>
    <t>Auditorio Alcaldía Local de Chapinero - Carrera 13 # 54 - 74</t>
  </si>
  <si>
    <t>Audiencia PPI-Formulación PDD- Localidad Usme</t>
  </si>
  <si>
    <t>Yamile Romero</t>
  </si>
  <si>
    <t>cdcusmejcs@gmail.com</t>
  </si>
  <si>
    <t>El Virrey</t>
  </si>
  <si>
    <t>CDC Julio César Sánchez. Calle 91 Sur #4C-26 Este</t>
  </si>
  <si>
    <t>Audiencia PPI-Formulación PDD- Localidad Antonio Nariño</t>
  </si>
  <si>
    <t>Paula Andrea Pedraza</t>
  </si>
  <si>
    <t>paula.pedraza@gobiernobogota.gov.co</t>
  </si>
  <si>
    <t>Calle 17 Sur No. 18 – 49 piso 1 salón de protocolo</t>
  </si>
  <si>
    <t>Ninguno</t>
  </si>
  <si>
    <t>Audiencia PPI-Formulación PDD- Localidad Santa Fe</t>
  </si>
  <si>
    <t>Henry Calderon</t>
  </si>
  <si>
    <t>cdclourdes@sdis.gov.co</t>
  </si>
  <si>
    <t>Lourdes</t>
  </si>
  <si>
    <t>Carrera 2 #4-06 CDC Lourdes</t>
  </si>
  <si>
    <t>Audiencia PPI-Formulación PDD- Localidad Rafael Uribe Uribe</t>
  </si>
  <si>
    <t>Calle 32 sur # 23 62</t>
  </si>
  <si>
    <t xml:space="preserve">Audiencia PPI-Formulación PDD- Localidad San Cristóbal </t>
  </si>
  <si>
    <t>Rosa Angélica Robayo</t>
  </si>
  <si>
    <t>Barrio San Blas</t>
  </si>
  <si>
    <t>AV 1de Mayo No. 1 - 40 Sur</t>
  </si>
  <si>
    <t xml:space="preserve">Audiencia PPI-Formulación PDD- Localidad Barrios Unidos </t>
  </si>
  <si>
    <t xml:space="preserve">YAJAIRA CUESTAS	</t>
  </si>
  <si>
    <t xml:space="preserve">CALLE 74A No 63-07
AUDITORIO TOMAS CARRASQUILLA
</t>
  </si>
  <si>
    <t xml:space="preserve">Audiencia PPI-Formulación PDD- Localidad Kennedy </t>
  </si>
  <si>
    <t>Rocío Fajardo</t>
  </si>
  <si>
    <t>rocio.fajardo@gobiernobogota.gov.co</t>
  </si>
  <si>
    <t>Transversal 78K No. 41A-04 Sur - Auditorio 1P [Sala C] (Alcaldía Local de Kennedy)</t>
  </si>
  <si>
    <t>Audiencia PPI-Formulación PDD- Localidad Suba</t>
  </si>
  <si>
    <t>Rincón de suba</t>
  </si>
  <si>
    <t>Carrera 94C # 129 A - 04 , Colegio Gerardo Paredes</t>
  </si>
  <si>
    <t>Audiencia PPI-Formulación PDD- Localidad Bosa</t>
  </si>
  <si>
    <t>Sandra Milena Gonzales</t>
  </si>
  <si>
    <t>316 3958522</t>
  </si>
  <si>
    <t>milegonzalez.inmo@gmail.com</t>
  </si>
  <si>
    <t>Bosa centro</t>
  </si>
  <si>
    <t xml:space="preserve">CASA DE LA PARTICIPACIÓN BOSA (Cra. 80k #61-28) </t>
  </si>
  <si>
    <t>Audiencia PPI-Formulación PDD- Localidad Tunjuelito</t>
  </si>
  <si>
    <t xml:space="preserve">Hugo García </t>
  </si>
  <si>
    <t>300 5013265</t>
  </si>
  <si>
    <t>hugo.garcia@gobiernobogota.gov.co</t>
  </si>
  <si>
    <t>San Carlos</t>
  </si>
  <si>
    <t xml:space="preserve">Auditorio principal de la alcaldía local de Tunjuelito - Diagonal 50 A No. 18 – 48 </t>
  </si>
  <si>
    <t xml:space="preserve">Audiencia PPI-Formulación PDD- Localidad Fontibón </t>
  </si>
  <si>
    <t>Centro fontibon</t>
  </si>
  <si>
    <t>Cra 99 # 19- 43 1 er piso</t>
  </si>
  <si>
    <t>Audiencia PPI-Formulación PDD- Localidad Puente Aranda</t>
  </si>
  <si>
    <t>Calle 4 # 31 D - 40</t>
  </si>
  <si>
    <t>Audiencia PPI-Formulación PDD- Localidad Teusaquillo</t>
  </si>
  <si>
    <t>(301) 654-7014</t>
  </si>
  <si>
    <t>La Magdalena</t>
  </si>
  <si>
    <t xml:space="preserve">Alcaldía Local de Teusaquillo Tv 18 bis # 38-41 </t>
  </si>
  <si>
    <t>Audiencia PPI-Formulación PDD- Localidad Engativá</t>
  </si>
  <si>
    <t>Boyaca</t>
  </si>
  <si>
    <t>Audiencia PPI-Formulación PDD- Localidad Los Mártires</t>
  </si>
  <si>
    <t>⁠dalonzo@sdp.gov.co</t>
  </si>
  <si>
    <t>Carrera 18 bis #23-30</t>
  </si>
  <si>
    <t xml:space="preserve">Audiencia PPI-Formulación PDD- Localidad La Candelaría </t>
  </si>
  <si>
    <t>Nelly Parra</t>
  </si>
  <si>
    <t>N/A</t>
  </si>
  <si>
    <t>Carrera 5 # 12B-49</t>
  </si>
  <si>
    <t>Articulación  SDP-Equipo UNAL :Vivienda</t>
  </si>
  <si>
    <t>Iniciar cooperación entre la SDP con grupo académico de UNAL sobre proyecto de Cooperativa de vivienda</t>
  </si>
  <si>
    <t>Ramon Bermudez</t>
  </si>
  <si>
    <t>321 3640250</t>
  </si>
  <si>
    <t>Si información</t>
  </si>
  <si>
    <t xml:space="preserve">Presentación proyecto cooperativa de vivienda,  recomendacion por parte de SDP sobre el proyecto </t>
  </si>
  <si>
    <t>Audiencia PPI-Formulación PDD- Localidad Sumapaz - Cuenca río Blanco</t>
  </si>
  <si>
    <t>Omar Castaño</t>
  </si>
  <si>
    <t>Sede alcaldía local, vereda Betania</t>
  </si>
  <si>
    <t>Audiencia PPI-Formulación PDD- Localidad Sumapaz - Cuenca río Sumapaz</t>
  </si>
  <si>
    <t>Elsy Noreyi</t>
  </si>
  <si>
    <t>320 4624366</t>
  </si>
  <si>
    <t>Noaplica@gm.com</t>
  </si>
  <si>
    <t>Salón comunal vereda La Unión</t>
  </si>
  <si>
    <t xml:space="preserve">Llevar a cabo, con todas las entidades del sector, el cierre de las actividades con ciudadanía de la segunda fase de la estrategia de participación del PDD: “aspiraciones comunes” </t>
  </si>
  <si>
    <t>meet.google.com/xjk-obpx-ohc</t>
  </si>
  <si>
    <t>Cierre de la estrategia de participación via chatico, reporte de capital humano y monetario utilizado por las entidades en fase 1 y fase 2</t>
  </si>
  <si>
    <t>Comité coordinador - asambleas ciudadanas</t>
  </si>
  <si>
    <t>Coordinar con GAB, IDPAC y organizaciones de la sociedad civil las asambleas ciudadanas</t>
  </si>
  <si>
    <t>https://meet.google.com/gtu-uouj-khd</t>
  </si>
  <si>
    <t>Gestión de cronograma, avances para las asambleas ciudadanas</t>
  </si>
  <si>
    <t>Comisión POT ordianria del CTPD</t>
  </si>
  <si>
    <t>Socializar el plan de acción 2024</t>
  </si>
  <si>
    <t>https://meet.google.com/wfp-atyi-rqq</t>
  </si>
  <si>
    <t xml:space="preserve"> Por falta de quorum nose puedo discutir el plan de acción 2024</t>
  </si>
  <si>
    <t>Reunión de trabajo secretaría de gobierno - CTPD</t>
  </si>
  <si>
    <t xml:space="preserve">Revisar la herramienta de control presupuestal </t>
  </si>
  <si>
    <t xml:space="preserve">Avenida Carrera 30 # 25-90 Piso 2 CTPD </t>
  </si>
  <si>
    <t>Procesos de participación , herramienta de control social para seguimiento a la inversión</t>
  </si>
  <si>
    <t>Comisión de Participación CTPD</t>
  </si>
  <si>
    <t>Aprobar el Plan de Acción de la Comisión</t>
  </si>
  <si>
    <t>Dick Dario Diaz Melendez</t>
  </si>
  <si>
    <t>https://meet.google.com/aar-cowq-nwv</t>
  </si>
  <si>
    <t>Aprobación del Plan de Acción de la Comisión de Participación</t>
  </si>
  <si>
    <t>Reunión Consejeras de Mujeres y Organizaciones de personas cuidadoras CTPD</t>
  </si>
  <si>
    <t>Socializar los aportes que brindan las consejeras de mujeres de Bogotá  a la implementación  el enfoque de género en el marco del Plan Distrital de Desarrollo al secretario de SDP</t>
  </si>
  <si>
    <t>Miguel Silva Moyano</t>
  </si>
  <si>
    <t xml:space="preserve">Kra 30 # 25 - 90 Piso 8 </t>
  </si>
  <si>
    <t>PDD, Sistema Distrital del cuidado, enfoque de género</t>
  </si>
  <si>
    <t>Consultorio PDD - Concejo: Jornada 1 Sector Movilidad</t>
  </si>
  <si>
    <t>Atender las inquietudes y/o comentarios provenientes del Concejo de Bogotá frente a la formulación del PDD</t>
  </si>
  <si>
    <t xml:space="preserve">Secretaria de Movilidad. </t>
  </si>
  <si>
    <t>Concejo Distrital</t>
  </si>
  <si>
    <t>Cl. 36 #28A-41 Concejo de Bogotá</t>
  </si>
  <si>
    <t>Fase III: Acuerdos para la Ciudad</t>
  </si>
  <si>
    <t xml:space="preserve">Concultas por parte de Concejales  frente al PDD en torno a temas de movilidad, IDU Y Unidad de mantenimiento vial. </t>
  </si>
  <si>
    <t>Gestión: Reunión plan de trabajo Acciones Afirmativas con la Comunidad Palenquera</t>
  </si>
  <si>
    <t>Elaborar el plan de trabajo con la finalidad de implementar las acciones afirmativas faltantes con la Comunidad Palenquera.</t>
  </si>
  <si>
    <t>Manuela.cassiani@gobiernobogota.gov</t>
  </si>
  <si>
    <t>Comunidad Palenquera</t>
  </si>
  <si>
    <t>Carrera 3 #10-72 Posa Wiwa</t>
  </si>
  <si>
    <t>Plan de trabajo para el cumplimiento de las acciones afirmativas de la vigencia 2024</t>
  </si>
  <si>
    <t>Reunión de Gestión Ágora Metropolitana</t>
  </si>
  <si>
    <t>Reglamentación de Ágora Metropolitana</t>
  </si>
  <si>
    <t>Acompañar  la reglamentación de Ágora Metropolitana y proporcionar las observaciones debidas por parte de la OPDC</t>
  </si>
  <si>
    <t>Auditorio piso 8 SDP</t>
  </si>
  <si>
    <t>Reglamentacion Agora Metropolitana ,Asambleas Ciudadanas</t>
  </si>
  <si>
    <t>Sesión Red Institucional de Veedurías Ciudadanas</t>
  </si>
  <si>
    <t>Realizar el seguimiento plan de acción de la red</t>
  </si>
  <si>
    <t>Aprobación actas 134 y 135, Relanzamiento de la Red Institucional de Apoyo a las Veedurías, diplomados y cursos de extensión a los veedores y veedoras ciudadanas, diplomado de Control Social</t>
  </si>
  <si>
    <t>Segunda mesa pública de participación ciudadana -SGR</t>
  </si>
  <si>
    <t xml:space="preserve">Presentar los proyectos de inversión susceptibles de ser financiados con las Asignaciones Directas y la Asignación para la Inversión Regional del Sistema General de Regalías que posteriormente serán incorporados en el Plan de Desarrollo Distrital </t>
  </si>
  <si>
    <t>paula.aguerrero@gmail.com</t>
  </si>
  <si>
    <t>Sistema General de Regalias, Iniciativas y proyectos de Inversión</t>
  </si>
  <si>
    <t xml:space="preserve">Devolución concepto proyecto PDD por parte del Alcalde Mayor al CTPD </t>
  </si>
  <si>
    <t xml:space="preserve">Devolver los resultados del análisis sobre el concepto del borrador del proyecto de PDD al CTPD por parte del Alcalde Mayor y su gabinete distrital. </t>
  </si>
  <si>
    <t xml:space="preserve">Cra 8 N° 10-65 - Auditorio Huitaca </t>
  </si>
  <si>
    <t xml:space="preserve">Respuesta de los resultados del análisis sobre el concepto del borrador del proyecto de PDD al CTPD por parte del Alcalde Mayor y su gabinete distrital. </t>
  </si>
  <si>
    <t>Consultorio PDD - Concejo: Jornada 2 Sector Movilidad</t>
  </si>
  <si>
    <t>Secretaria de Movilidad.</t>
  </si>
  <si>
    <t xml:space="preserve">Concultas por parte de Concejales  frente al PDD en torno a movilidad, Metro, Transmilenio y movilidad sostenible  </t>
  </si>
  <si>
    <t xml:space="preserve"> Capacitación POT- JAL  Kennedy</t>
  </si>
  <si>
    <t>Generalidades POT</t>
  </si>
  <si>
    <t xml:space="preserve">Acompañar sesión de la JAL sobre la  socialización del POT </t>
  </si>
  <si>
    <t>https://tel.meet/oey-norq-uda?pin=4967612829454</t>
  </si>
  <si>
    <t>Generalides del POT, áreas de actividad, usos de suelo y mitigación urbanistica.</t>
  </si>
  <si>
    <t xml:space="preserve">Compartir entre las entidades cabezas de sector los avances respecto a la Estrategia de Participación del Plan Distrital de Desarrollo </t>
  </si>
  <si>
    <t>meet.google.com/xgf-escq-idz</t>
  </si>
  <si>
    <t>Estado de evidencias de la segunda fase de la estrategia de participacion por parte de las entidades cabezas de sector</t>
  </si>
  <si>
    <t>Recomendaciones al PDD por NNA en Concejo de Bogotá</t>
  </si>
  <si>
    <t>Acompañar la Presentación por parte de NNA recomendaciones al PDD en Concejo de Bogotá.</t>
  </si>
  <si>
    <t>Save The Children y Niñez Ya</t>
  </si>
  <si>
    <t>Comisión Permanente Plan Distrital de Desarrollo Concejo de Bogotá - Situación de la Infancia</t>
  </si>
  <si>
    <t>No subido</t>
  </si>
  <si>
    <t>Consultorio PDD - Concejo: Jornada 3 Sector Seguridad</t>
  </si>
  <si>
    <t>Gestión: Revisión cronograma participación ZIBO - Renobo</t>
  </si>
  <si>
    <t>Revisar el  cronograma que se tiene planeado para AE ZIBO por parte  Renobo y los espacios  que serán acompañados  desde la OPDC y la SDP</t>
  </si>
  <si>
    <t>https://meet.google.com/vvi-ymry-abf?authuser=0</t>
  </si>
  <si>
    <t>Cronograma AE pieza ZIBO - UPL Puente Aranda</t>
  </si>
  <si>
    <t>Sesión JAL - PEMP Teusaquillo</t>
  </si>
  <si>
    <t>Acompanar la sesión de JAL Teusaquillo para Informe sobre el estado de la implementación del PEMP TEUSAQUILLO</t>
  </si>
  <si>
    <t>Luis Carlos Miguel Barrera Lombana</t>
  </si>
  <si>
    <t>Jal.teusaquillo@gobiernobogota.gov.co</t>
  </si>
  <si>
    <t xml:space="preserve">https://us02web.zoom.us/j/83738175064 </t>
  </si>
  <si>
    <t>Informe implementación del pemp teusaquillo</t>
  </si>
  <si>
    <t>Comisión Poblacional -CTPD</t>
  </si>
  <si>
    <t>Formular el Plan de Acción 2024</t>
  </si>
  <si>
    <t>301 3090210</t>
  </si>
  <si>
    <t>https://meet.google.com/exk-cuyd-nuy</t>
  </si>
  <si>
    <t>Plan de acción 2024</t>
  </si>
  <si>
    <t>Gestión: Socialización a  la Comunidad Negra Afrocolombiana de Rafael Uribe respecto al PDD</t>
  </si>
  <si>
    <t>Acompañar la socialización sobre el PDD a la comunidad Negra Afrocolombiana de Rafael Uribe de cara a la realización de los Encuentros Ciudadanos de los PDL</t>
  </si>
  <si>
    <t>Jose Mena</t>
  </si>
  <si>
    <t>Jose.mena@gobiernobogota.gov.co</t>
  </si>
  <si>
    <t>Comunidad Negra Afrocolombiana residente en la Localidad de Rafael Uribe Uribe</t>
  </si>
  <si>
    <t>Calle 32 sur # 23-62 Alcaldia Local de Rafael Uribe Uribe</t>
  </si>
  <si>
    <t xml:space="preserve">Plan Distrital de Desarrollo; Población Diferencial; Encuentros Ciudadanos </t>
  </si>
  <si>
    <t>Sesión Ordinaria Comisión de Plan Distrital de Desarrollo del CTPD</t>
  </si>
  <si>
    <t xml:space="preserve">Construir, acordar y aprobar el plan de acción de la Comisión PDD del CTPD para la vigencia 2024. </t>
  </si>
  <si>
    <t>https://meet.google.com/vby-ccoi-pgz</t>
  </si>
  <si>
    <t>Plan de Acción Comisión PDD - CTPD</t>
  </si>
  <si>
    <t>CLIP Candelaria</t>
  </si>
  <si>
    <t>Acompañar la articulación de los esfuerzos institucionales de participación en la localidad de Candelaria</t>
  </si>
  <si>
    <t>CLIP</t>
  </si>
  <si>
    <t>Diana Alexandra Mutis</t>
  </si>
  <si>
    <t>(57) (1) 2417900/30 ext. 51162</t>
  </si>
  <si>
    <t>https://teams.microsoft.com/l/meetup-join/19%3ameeting_YzU1MjZjZmYtNzZkYS00NDIxLWI0NDUtZjRmNjZmNTNiMGUy%40thread.v2/0?context=%7b%22Tid%22%3a%220f1156f1-406d-4123-99f0-a976b835b9b6%22%2c%22Oid%22%3a%22b142065a-d40f-4349-8c8f-d933cf872452%22%7d</t>
  </si>
  <si>
    <t>Recolección de información sobre el funcionamiento de las Instancias de Participación Locales, Encuentros Ciudadanos. Presentación SDP Estrategia Participación PDD</t>
  </si>
  <si>
    <t>Consultorio PDD - Concejo: Jornada 4 Sector Seguridad</t>
  </si>
  <si>
    <t>Bomberos, valores de una estación de bomberos, rango de acción de una estación y control de los hidrantes.</t>
  </si>
  <si>
    <t>Sesión ordinaria del Consejo Distrital de Propiedad Horizontal</t>
  </si>
  <si>
    <t>CCPH (Consejo Consultivo de Propiedad Horizontal)</t>
  </si>
  <si>
    <t>Atender la Invitación a la sesión ordinaria del Consejo Distrital de Propiedad Horizontal</t>
  </si>
  <si>
    <t>Eduar David Martínez Segura</t>
  </si>
  <si>
    <t>IDPAC Avenida Calle 22 # 68C-51</t>
  </si>
  <si>
    <t>apoyo uno de los puntos del orden del día relacionado con las fases 3 y 4 de participación en el PDD</t>
  </si>
  <si>
    <t>Mesa de trabajo elección representante organizaciones de personas con discapacidad al CPTD</t>
  </si>
  <si>
    <t xml:space="preserve">Orientar a los sectores en el marco del decreto 580 de 2023 </t>
  </si>
  <si>
    <t>https://meet.google.com/qqi-txuw-ukg</t>
  </si>
  <si>
    <t xml:space="preserve">Decreto 580 de 2023 para el ejercicio de delegación al CTPD </t>
  </si>
  <si>
    <t>Plenaria Ordinaria CTPD</t>
  </si>
  <si>
    <t>Analizar la respuesta dada por la administración al concepto sobre el PDD</t>
  </si>
  <si>
    <t>https://meet.google.com/rbo-eyiq-zbg</t>
  </si>
  <si>
    <t>Informe de contextualización de lo que ha pasado después de la cancelación de las mesas técnicas hasta la actividad del 22 de abril de 2024.</t>
  </si>
  <si>
    <t>Acto protocolario NNA - Alcaldía Mayor</t>
  </si>
  <si>
    <t>Realizar taller creativo con los NNA en el marco del acto protocolarios liderado por la SED</t>
  </si>
  <si>
    <t>Secretaría de Educación del Distrito</t>
  </si>
  <si>
    <t>Aportes de los NNA al PDD</t>
  </si>
  <si>
    <t>Consultorio PDD - Concejo: Jornada 5 Sector Gobierno</t>
  </si>
  <si>
    <t>Juan Pablo Sandoval</t>
  </si>
  <si>
    <t>jsandoval@sdp.gov.co</t>
  </si>
  <si>
    <t>Sesión Comisión quinta de Presupuesto y Economía Local- JAL Teusaquillo</t>
  </si>
  <si>
    <t>Acompañar la sesión para escuchar a propietarios y copropietarios de Bienes de interés cultural.</t>
  </si>
  <si>
    <t>Pedro Alexander Moreno Rivera</t>
  </si>
  <si>
    <t>300 7084333</t>
  </si>
  <si>
    <t>Transversal 28 B # 36-39 - JAL Teusaquillo</t>
  </si>
  <si>
    <t>Mecanismos financieros para el mantenimiento y conservación. (Bienes de interés cultural)</t>
  </si>
  <si>
    <t xml:space="preserve">Mesa de trabajo sector republica de Canadá y Santa Marta </t>
  </si>
  <si>
    <t>Legalización Urbanística</t>
  </si>
  <si>
    <t xml:space="preserve">Acompañar el proceso de legalización de barrios en el sector de Canadá y Santa Marta </t>
  </si>
  <si>
    <t>Luis Francisco Martínez</t>
  </si>
  <si>
    <t>papeleriagalaga@gmail.com</t>
  </si>
  <si>
    <t xml:space="preserve">Villa esperanza </t>
  </si>
  <si>
    <t xml:space="preserve">Barrio villa esperanza sector capilla </t>
  </si>
  <si>
    <t xml:space="preserve">Acompañamiento y sensibilización a la comunidad asistente frente a legalización de barrios para el sector de Canadá y Santa Marta </t>
  </si>
  <si>
    <t>Socialización Plan Participación Ciudadana - Consejo Consultivo LGBTI</t>
  </si>
  <si>
    <t>CCLGTBI (Consejo Consultivo LGBTIQ+)</t>
  </si>
  <si>
    <t>Socializar el Plan Institucional de Participación Ciudadana (PIPC) al Consejo Consultivo LGBTI</t>
  </si>
  <si>
    <t>Fredy Rincon</t>
  </si>
  <si>
    <t>‪3006574555‬</t>
  </si>
  <si>
    <t>consejoconsultivolgbt@sdp.gov.co</t>
  </si>
  <si>
    <t>https://meet.google.com/mhk-hfvu-vbu?hs=224</t>
  </si>
  <si>
    <t>Socialización del Plan Institucional de Participación Ciudadana (PIPC) al Consejo Consultivo LGBTI</t>
  </si>
  <si>
    <t>Plenaria Permanente CTPD</t>
  </si>
  <si>
    <t>Dar continuidad al orden del día establecido en la Plenaria ordinaria del 25 de abril de 2024</t>
  </si>
  <si>
    <t>https://meet.google.com/htr-faou-dra</t>
  </si>
  <si>
    <t>Continuidad al orden del día de la plenaria ordinaria del CTPD del pasado 25 de abril de 2024</t>
  </si>
  <si>
    <t>Gestion: Estrategia de Participacion Plan Maestro del Sistema de Cuidado</t>
  </si>
  <si>
    <t>Definir con la  subdireccion de planes maestros, la estrategia de participacion</t>
  </si>
  <si>
    <t>Paola Caceres</t>
  </si>
  <si>
    <t>pcaceres@sdp.gov.co</t>
  </si>
  <si>
    <t>meet.google.com/uuj-qqse-fce</t>
  </si>
  <si>
    <t xml:space="preserve"> Definición de la estrategia de participacion</t>
  </si>
  <si>
    <t>Consultorio PDD - Concejo: Jornada 7 Sector Ambiente</t>
  </si>
  <si>
    <t xml:space="preserve">Procesos de participación ciudadana, gestión de residuos sólidos y la atención a situaciones de riesgo.  </t>
  </si>
  <si>
    <t>CLIP Ciudad Bolivar</t>
  </si>
  <si>
    <t>Acompañar la articulación de los esfuerzos institucionales de participación en la localidad de Ciudad Bolivar</t>
  </si>
  <si>
    <t>Andrés Felipe Verdugo</t>
  </si>
  <si>
    <t>Ciudad Bolivar</t>
  </si>
  <si>
    <t>Encuentros ciudadanos, Estrategia Jóvenes a la E,Comité de impulso del Consejo Local de la Bici.</t>
  </si>
  <si>
    <t>Jornada de la socialización virtual del ajuste a la propuesta de formulación del PPRU “Textilia”.</t>
  </si>
  <si>
    <t>Planes Parciales de Renovación Urbana</t>
  </si>
  <si>
    <t>Socialización del ajuste a la propuesta de formulación del Plan Parcial de Renovación Urbana “Textilia”</t>
  </si>
  <si>
    <t>Andrea Sandoval</t>
  </si>
  <si>
    <t>urb.andrea.sandoval@gmail.com</t>
  </si>
  <si>
    <t>Salazar Gómez</t>
  </si>
  <si>
    <t>https://meet.google.com/nqb-tupq-nvx</t>
  </si>
  <si>
    <t>Ajustes a la formulación del PPRU Textilia</t>
  </si>
  <si>
    <t xml:space="preserve">Compartir los avances en la estrategia de participación por parte de las cabezas de sector del distrito y dar indicaciones respecto de la Fase 3: "Acuerdos para la Ciudad"  de la estrategia de participación del PDD </t>
  </si>
  <si>
    <t xml:space="preserve"> https://meet.google.com/uhn-iskd-qrw</t>
  </si>
  <si>
    <t xml:space="preserve">Inicio de Fase 3 "Acuerdos para la ciudad", explicación breve de la fase y sus acciones, pausa de las reuniones del comite hasta terminar la fase. </t>
  </si>
  <si>
    <t>Consultorio PDD - Concejo: Jornada 8 Sector Salud</t>
  </si>
  <si>
    <t xml:space="preserve">Fortalecimiento de la prestación de los servicios sociales en salud, mejora en la atención institucional, métodos de evaluación de la atención, cobertura de las rutas de atención, tercerización. </t>
  </si>
  <si>
    <t>CDC Lourdes - Calle 6 #51-3a</t>
  </si>
  <si>
    <t>Caracterización actores Sub-Red Centro Oriente. Conformación de las JAC de La Candelaria. Construcción y priorización de acciones para mitigar problemas de participación ciudadana</t>
  </si>
  <si>
    <t>Dar continuidad a la plenaria ordinaria del 25 de abril que no agotó el orden del día</t>
  </si>
  <si>
    <t>https://meet.google.com/eus-kawm-ush</t>
  </si>
  <si>
    <t>Socialización de  la matriz enviada como respuesta al concepto emitido frente al PDD</t>
  </si>
  <si>
    <t>Recorrido AE ZIBO - JAC Puente Aranda</t>
  </si>
  <si>
    <t>Acompañar a RenoBo y la JAC de Puente Aranda en un recorrido por el poligono de la AE en formulación pieza ZIBO</t>
  </si>
  <si>
    <t>Angela Milena Escobar</t>
  </si>
  <si>
    <t>aescobare@renobo.com.co</t>
  </si>
  <si>
    <t>Biblioteca Central Universidad Distrital Francisco José de Caldas, Cra. 32 #12-70</t>
  </si>
  <si>
    <t>Formulación AE pieza ZIBO en la UPL Puente Aranda</t>
  </si>
  <si>
    <t>Consultorio PDD - Concejo: Jornada 9 Sector Salud</t>
  </si>
  <si>
    <t>Regulación Consumo SPA, atención con enfoque diferencial, servicio en la clínica de género para tránsitos seguros, modelo de atención en salud actual, inspección de vigilancia y control</t>
  </si>
  <si>
    <t>Sesión de Concejo - Formulación PDD</t>
  </si>
  <si>
    <t>Acompañar la discusión del proyecto de acuerdo del Plan Distrital de Desarrollo de cara al proceso de debate para su aprobación en el Concejo Distrital</t>
  </si>
  <si>
    <t>310 5844361</t>
  </si>
  <si>
    <t>Presentación general del Plan Distrital de Desarrollo y el Plan Plurianual de Inversión.</t>
  </si>
  <si>
    <t>Acompañar la articulación de los esfuerzos institucionales de participación en la localidad de Usaquén</t>
  </si>
  <si>
    <t>Aleyda Guzman</t>
  </si>
  <si>
    <t xml:space="preserve"> 300 4241263</t>
  </si>
  <si>
    <t>https://teams.microsoft.com/l/meetup-join/19%3ameeting_ZTY2NDhmYzQtZTIyYi00MWFkLThhNDgtMTUzMWU5ZjgxOTFh%40thread.v2/0?context=%7b%22Tid%22%3a%220f1156f1-406d-4123-99f0-a976b835b9b6%22%2c%22Oid%22%3a%22238f0383-76da-46d4-a513-6126e5b28292%22%7d</t>
  </si>
  <si>
    <t>Aprobación del acta anterior, Presentación del IDRG (CLGRCC), Plan de Acción CLIP</t>
  </si>
  <si>
    <t>Gestión :Socialización plan decenal de lenguas Étnicas -UNAD</t>
  </si>
  <si>
    <t>Acompañar la  invitación de la UNAD a la socialización del Plan Decenal de Lenguas Étnicas.</t>
  </si>
  <si>
    <t>Diego Tellez</t>
  </si>
  <si>
    <t>Diego.tellez@unad.edu.co</t>
  </si>
  <si>
    <t>Calle 14 Sur #14-23</t>
  </si>
  <si>
    <t xml:space="preserve">Pervivencia de las lenguas étnicas a través del Plan Decenal de Lenguas </t>
  </si>
  <si>
    <t>Taller  Modelo de Relacionamiento con la Ciudadanía</t>
  </si>
  <si>
    <t>Establecer lineamientos para gestionar de manera integral la relación con la ciudadanía.</t>
  </si>
  <si>
    <t>10-99, Cra. 8 #10-1- Alcaldía Mayor de Bogotá</t>
  </si>
  <si>
    <t>Escenarios de relacionamiento con las políticas del Modelo Integrado de Gestión, MIPG.</t>
  </si>
  <si>
    <t>Implementar el comité interinstitucional semanal para la gestión de las asambleas ciudadanas</t>
  </si>
  <si>
    <t>meet.google.com/gtu-uouj-khd</t>
  </si>
  <si>
    <t>Avance de las asambleas para 2024 y ruta de trabajo para los ciclos deliberativos de acuerdo a PDD</t>
  </si>
  <si>
    <t>Recorrido AE Chapinero verde e inteligente</t>
  </si>
  <si>
    <t>Acompañar el  reconocimiento del territorio junto a líderes comunitarios, bajo la coordinación del Operador Urbano</t>
  </si>
  <si>
    <t>Por confirmar</t>
  </si>
  <si>
    <t xml:space="preserve">Punto claves para la AE Chapinero Verde e inteligente, PIP de la UPL Chapinero y Ruta de participación de la AE </t>
  </si>
  <si>
    <t>Gestión:Socialización SPT a Subdirecciones Territoriales</t>
  </si>
  <si>
    <t>Socializar a las subdirecciones territoriales de la SDP los contenidos y objetivos del Sistema de Participación Territorial</t>
  </si>
  <si>
    <t>Maria Monica Montealegre Murillo</t>
  </si>
  <si>
    <t>mmontealegre@sdp.gov.co</t>
  </si>
  <si>
    <t>SDP</t>
  </si>
  <si>
    <t>Instalaciones SDP</t>
  </si>
  <si>
    <t>Contenidos generales y los componentes del Sistema de Participación Territorial según el Decreto 555 del 2021</t>
  </si>
  <si>
    <t>Consultorio PDD - Concejo: Jornada 10- Sector Integración Social</t>
  </si>
  <si>
    <t>Recepción de inquietudes sobre el Plan Distrital de Desarrollo dirigidas a la secretaría distrital de integración social</t>
  </si>
  <si>
    <t>Sesión de Concejo - Formulación PDD- 06-05-2024</t>
  </si>
  <si>
    <t xml:space="preserve">Preguntas y respuestas sobre las metas y programas del Objetivo 1 Bogotá Camina Segura del PDD. </t>
  </si>
  <si>
    <t>Sesión Consejo Distrital de Propiedad Horizontal</t>
  </si>
  <si>
    <t>Revisar propuestas del Plan de Distrital de Desarrollo</t>
  </si>
  <si>
    <t>Carrera 30 # 25-90 - CAD Piso 8</t>
  </si>
  <si>
    <t>Propuestas para inclusión en Plan Distrital de Desarrollo</t>
  </si>
  <si>
    <t xml:space="preserve">Presentación de resultados de Participación UPL Sumapaz- JAL </t>
  </si>
  <si>
    <t>Presentar los resultados de las actividades de participación realizadas en la UPL Sumapaz, ante la Junta Administradora Local</t>
  </si>
  <si>
    <t>jal.sumapaz@gobiernobogota.gov.co</t>
  </si>
  <si>
    <t>Pendiente</t>
  </si>
  <si>
    <t xml:space="preserve">Resultados de participación del Plan Distrital de Desarrollo y el Plan de Desarrollo Local </t>
  </si>
  <si>
    <t xml:space="preserve">Dar continuidad al orden del día de la plenaria ordinaria del 25 de abril de 2024 </t>
  </si>
  <si>
    <t xml:space="preserve"> https://meet.google.com/qbo-qtjo-gxi</t>
  </si>
  <si>
    <t>Planes de acción de las comisiones del CTPD ,no se  terminó el orden del dia</t>
  </si>
  <si>
    <t>Consultorio PDD - Concejo: Jornada 11- Sector Integración Social</t>
  </si>
  <si>
    <t>Inquietudes del Concejo Distrital sobre los programas y metas del sectori integración social</t>
  </si>
  <si>
    <t>Metas del Objetivo 2 del Plan Distrital de D.esarrollo</t>
  </si>
  <si>
    <t>CLIP Santa Fé</t>
  </si>
  <si>
    <t>Johana Rodriguez</t>
  </si>
  <si>
    <t>johannac.rodriguez@gobiernobogota.gov.co</t>
  </si>
  <si>
    <t>Cl. 6 #51 3a, Bogotá-CDC Lourdes</t>
  </si>
  <si>
    <t>Reglamentacion CLIP , Encuentros Ciudadanos</t>
  </si>
  <si>
    <t>Acompañar la articulación de los esfuerzos institucionales de participación en la localidad de Fontibón</t>
  </si>
  <si>
    <t xml:space="preserve"> 
Carrera 99 No. 19 - 43</t>
  </si>
  <si>
    <t>Aclaraciones relacionas con el desarrollo del PDL</t>
  </si>
  <si>
    <t>Gestión: Reunión con IPDC sobre Sistema Sitios Sagrados Muisca y SPT</t>
  </si>
  <si>
    <t>Contextualizar  el producto de política pública del  Pueblo Muisca articulado con el Sistema de Participación Territoria</t>
  </si>
  <si>
    <t>Giovanna Torres Torres</t>
  </si>
  <si>
    <t>giovanna.torres@idpc.gov.co</t>
  </si>
  <si>
    <t>Av carrera 30 #25-90 Piso 2 CAD</t>
  </si>
  <si>
    <t>Sistema de Sitios Sagrados Muisca; Sistema de Participación Territorial; Resolución 2664</t>
  </si>
  <si>
    <t xml:space="preserve"> Reunión con USAID y FHI360</t>
  </si>
  <si>
    <t>Acompañar la socialización del proceso de articulación USAID - FHI360 - SDP</t>
  </si>
  <si>
    <t xml:space="preserve"> Cra. 7 #74 No. 56</t>
  </si>
  <si>
    <t>Proceso de participación del Plan Distrital de Desarrollo.</t>
  </si>
  <si>
    <t>Consultorio PDD - Concejo: Jornada 12- Sector Cultura</t>
  </si>
  <si>
    <t>Inquietudes relacionadas con el sector de cultura, recreación y deportes, consignados en el Plan Distrutal de Desarrollo..</t>
  </si>
  <si>
    <t>José Humberto Pedraza Ángel</t>
  </si>
  <si>
    <t>316 389 6199</t>
  </si>
  <si>
    <t>Transversal 18 bis No. 38- 41 - Alcaldía Local de Teusaquillo</t>
  </si>
  <si>
    <t>Concepto AE como herramienta de planificación. Alcance en el territorio y Tiempos,  AE Calle 72.</t>
  </si>
  <si>
    <t>Situación de la población infantil, la seguridad alimentaria, la salud pública, la formación para el trabajo, el emprendimiento, la inclusión laboral,  el turismo, la competitividad empresarial y la Ciencia, Tecnología e Innovación (CTI)</t>
  </si>
  <si>
    <t>Alvaro Córdoba</t>
  </si>
  <si>
    <t>acordoba@participacionbogota.gov.co</t>
  </si>
  <si>
    <t>https://teams.microsoft.com/dl/launcher/launcher.html?url=%2F_%23%2Fl%2Fmeetup-join%2F19%3Ameeting_OGJlMTlkNmMtZjQ2MC00Y2Q4LTgzMWQtOTRkNzIwOTViODdi%40thread.v2%2F0%3Fcontext%3D%257b%2522Tid%2522%253a%2522b3e30808-e9a8-4f2a-9bc1-a760ae910cf5%2522%252c%2522Oid%2522%253a%252237611154-6326-474d-9819-3be8738dadde%2522%257d%26anon%3Dtrue&amp;type=meetup-join&amp;deeplinkId=e1bf15c8-c718-49c3-845c-eefa8297ed32&amp;directDl=true&amp;msLaunch=true&amp;enableMobilePage=true&amp;suppressPrompt=true</t>
  </si>
  <si>
    <t>Encuentros ciudadanos en la localidad, borrador de control interno.</t>
  </si>
  <si>
    <t>Gestión: Reunión Junta Directiva / incentivos y bolsa logística CTPD</t>
  </si>
  <si>
    <t xml:space="preserve">Establecer compromisos respecto del plan de incentivos y bolsa logística para el CTPD </t>
  </si>
  <si>
    <t xml:space="preserve">Ave Cra 30 #25-90 Piso 8 OPDC </t>
  </si>
  <si>
    <t>Bolsa Logistica, recursos financieros y presupuestales del CTPD</t>
  </si>
  <si>
    <t>Sesión Ordinaria de la Comisión de Desarrollo Regional - CTPD</t>
  </si>
  <si>
    <t>Realizar la socialización y la construcción del Plan de Acción de la Comisión de Desarrollo Regional del CTPD.</t>
  </si>
  <si>
    <t>https://meet.google.com/swq-cpck-fob</t>
  </si>
  <si>
    <t>Plan de Acción de la Comisión de Desarrollo Regional del CTPD.</t>
  </si>
  <si>
    <t>Comité técnico- CTPD</t>
  </si>
  <si>
    <t>hacer seguimiento al convenio con la UNAD para el apoyo al CTPD</t>
  </si>
  <si>
    <t>piso 8 super cad carrera 30 con 26</t>
  </si>
  <si>
    <t xml:space="preserve">Avances de actividades del CTPD </t>
  </si>
  <si>
    <t>Consultorio PDD - Concejo: Jornada 13- Sector Cultura</t>
  </si>
  <si>
    <t>Inquietudes relacionadas con el sector de cultura, recreación y deportes, consignados en el Plan Distrutal de Desarrollo.</t>
  </si>
  <si>
    <t>Reunión concejal Ponente Clara Lucia Sandoval</t>
  </si>
  <si>
    <t>Atender las solicitudes y comentarios de la concejal ponente Clara Lucia Sandoval</t>
  </si>
  <si>
    <t>Ave Cra 30 #25-90, Bogotá, Piso 8 Salsa E</t>
  </si>
  <si>
    <t xml:space="preserve">Dudas para la propuesta de ponencia de la concejal Clara Lucia Sandoval, del sector Hacienda, Educación, Hábitat, Desarrollo Económico y Seguridad </t>
  </si>
  <si>
    <t>(57) (1) 2417900</t>
  </si>
  <si>
    <t>Avenida Calle 22 No. 68C -51</t>
  </si>
  <si>
    <t xml:space="preserve">Generalidades del POT y UPL. </t>
  </si>
  <si>
    <t>Programas y metas del objetivo 4 del Plan Distrital de Desarollo, ordenamiento territorial</t>
  </si>
  <si>
    <t>CLIP Barrios Unidos</t>
  </si>
  <si>
    <t>Acompañar la articulación de los esfuerzos institucionales de participación en la localidad de Barrios Unidos</t>
  </si>
  <si>
    <t>Aurora Esperanza Daza</t>
  </si>
  <si>
    <t>300 569 8632</t>
  </si>
  <si>
    <t>José Joaquín Vargas</t>
  </si>
  <si>
    <t>Calle 66c # 66 - 15 Colegio Naval</t>
  </si>
  <si>
    <t>Propuestas para Plan de acción 2024, Plan de Desarrollo Local, CPL,  encuentros Ciudadanos</t>
  </si>
  <si>
    <t>Mesa de Gestión Territorial Barrio Nuevo Chile -JAC</t>
  </si>
  <si>
    <t>Acompañar a la JAC del barrio Nuevo Chile en el espacio donde se expondrá la reglamentación de la UPL BOSA</t>
  </si>
  <si>
    <t>Fabián Eduardo Rodríguez</t>
  </si>
  <si>
    <t>frodriguezc@sdp.gov.co</t>
  </si>
  <si>
    <t>Barrio Nuevo Chile</t>
  </si>
  <si>
    <t>CRA 72 F N 56 A 27 sur casa de la Juventud Barrio Nuevo Chile</t>
  </si>
  <si>
    <t>Reglamentación del POT en cuanto la malla vial, la reglamentación de las UPL en especial la de Bosa</t>
  </si>
  <si>
    <t xml:space="preserve">Dar continuidad al orden del dia de la plenaria ordinaria del 25 de abril de 2024 </t>
  </si>
  <si>
    <t>Liliana urrego navarro</t>
  </si>
  <si>
    <t>meet.google.com/puu-xxep-ndo</t>
  </si>
  <si>
    <t>Plan de acción del CTPD y de las comisiones</t>
  </si>
  <si>
    <t>Inquietudes y preguntas del PDD a sectores de Integración, Mujer, Salud, Ambiente, Cultura y Movilidad</t>
  </si>
  <si>
    <t>Consultorio PDD - Concejo: Jornada 14- Sector Desarrollo Económico</t>
  </si>
  <si>
    <t>Alternativas de emprendimiento, Plan de Acción de Política Pública de Vendedores Informales</t>
  </si>
  <si>
    <t>Sesión de Concejo - Formulación PDD - Mañana</t>
  </si>
  <si>
    <t>objetivo 5,generalidades programa 33 del PDD, Inconsistencias de los servidores públicos de cara a la ciudadanía, ciudad mas conectiva y digital, modelos de gobernanza, Crecimiento progresivo de la cartera nacional, Percepciones de los ciudadanos hacia los entes del distrito</t>
  </si>
  <si>
    <t>Cronograma de asamblea, revisión convocatoria base de datos, requerimiento de comunicación para asambleas</t>
  </si>
  <si>
    <t>Sesión de Concejo - Formulación PDD - Tarde</t>
  </si>
  <si>
    <t>Recolectar propuestas ciuadadanas sobre el Plan distrital de Desarrollo.</t>
  </si>
  <si>
    <t>Audiencia Clara lucia Sandoval,  protección animal, Temas en relacion a casa ecologica, movimientos animalistas, proteccion a fauna.</t>
  </si>
  <si>
    <t>Encuentro nacional de jóvenes negros, afrocolombianos, palenqueros y Raizales.</t>
  </si>
  <si>
    <t>Acompañar el encuentro nacional de jóvenes negros, afrocolombianos, palenqueros y Raizales del Consejo Nacional de Paz Afrocolombiano</t>
  </si>
  <si>
    <t>Laurent Micolta</t>
  </si>
  <si>
    <t>Conpapaz.info@gmail.com</t>
  </si>
  <si>
    <t>Calle 12 #1-17 Universidad Externado</t>
  </si>
  <si>
    <t>Formación política y participativa de los jovenes</t>
  </si>
  <si>
    <t>Gestión:coordinación para propuesta Agora</t>
  </si>
  <si>
    <t xml:space="preserve">Coordinar la propuesta de implementación del proceso de Ágora Metropolitana </t>
  </si>
  <si>
    <t>Michael Cruz</t>
  </si>
  <si>
    <t>mcruzr@sdp.gov.co</t>
  </si>
  <si>
    <t>CAD - PISO 8</t>
  </si>
  <si>
    <t>Propuesta de selección de participantes de Bogotá y Cundinamarca.</t>
  </si>
  <si>
    <t>Recorrido AE ZIBO JAC Teusaquillo</t>
  </si>
  <si>
    <t>(601) 3599494 Ext. 448</t>
  </si>
  <si>
    <t>Quinta Paredes</t>
  </si>
  <si>
    <t>Centro de Eventos Carpa Corferias, Cl. 20 #36-44</t>
  </si>
  <si>
    <t>Movilidad. y reúso. Reverdecimiento y corredores de turismo. Reactivación económica y corredores de turismo.</t>
  </si>
  <si>
    <t>Gestión: Acompañamiento espacio de diálogo Sec. Gobierno con Cabildo Muisca de Suba</t>
  </si>
  <si>
    <t xml:space="preserve">Acompañar el espacio de diálogo entre la Sec. De gobierno y el Pueblo Muisca de Suba en términos de la incidencia en el Plan Distrital de Desarrollo. </t>
  </si>
  <si>
    <t>David Cortez</t>
  </si>
  <si>
    <t>David.araujo@gobiernobogota.gov.co</t>
  </si>
  <si>
    <t xml:space="preserve">Plan Distrital de Desarrollo; Plan de Vida Muisca; Sistema de Sitios Sagrados; Planes Parciales </t>
  </si>
  <si>
    <t>Gestión: Revisión propuesta Agora Metropolitana</t>
  </si>
  <si>
    <t>Revisar la propuesta  sobre el proceso de ágora Metropolitana a cargo de Felipe Rey</t>
  </si>
  <si>
    <t>https://meet.google.com/anu-hmwh-jbx?hs=224</t>
  </si>
  <si>
    <t>Normatividad del Ágora metropolitana
Requerimientos para formular el Ágora Metropolitana</t>
  </si>
  <si>
    <t>Escuela de Pensamiento: Socialización interna - Plan Institucional de Participación Ciudadana</t>
  </si>
  <si>
    <t>Socializar el Plan Institucional de Participación Ciudadana con los Funcionarios de la Secretaría Distrital de Planeación.</t>
  </si>
  <si>
    <t>Dayanna Alexandra Cortes</t>
  </si>
  <si>
    <t>https://www.youtube.com/watch?v=66DcYokSI24</t>
  </si>
  <si>
    <t>Plan Institucional de Participación Ciudadana.</t>
  </si>
  <si>
    <t>Acompañar la articulación de los esfuerzos institucionales de participación en la localidad de Engativá</t>
  </si>
  <si>
    <t>Esperanza Daza Maldonado</t>
  </si>
  <si>
    <t>Calle 71 # 73a-44</t>
  </si>
  <si>
    <t xml:space="preserve">Desarrollo de Encuentros Ciudadanos, Sectores Sociales Incidentes, Mecanismos de Participación CLIP </t>
  </si>
  <si>
    <t>Consultorio PDD - Concejo: Jornada 15- Sector Hábitat</t>
  </si>
  <si>
    <t>Metas del Plan Distrital de Desarrollo  para el sector Hábitat</t>
  </si>
  <si>
    <t>Propuestas sobre el Río Bogotá. historia, proyectos, avances de obras, costos, impactos y posibles beneficios.</t>
  </si>
  <si>
    <t>SLIS TUNJUELITO (Diagonal 47 A SUR 53 B 27 sur) en el Auditorio.</t>
  </si>
  <si>
    <t>Programa "Oferta preferente" SDHT; Encuentros ciudadanos ALT</t>
  </si>
  <si>
    <t>Reunión: Propuesta de Asamblea deliberativa Metropolitana - Agora</t>
  </si>
  <si>
    <t>Revisar Propuesta de Asamblea deliberativa Metropolitana - Agora</t>
  </si>
  <si>
    <t>Reglamentacion Agora Metropolitana, representatividad demográficamente representativos de género, edad, municipio y estrato</t>
  </si>
  <si>
    <t>Gestión: Pedagogía del Plan Distrital de Desarrollo</t>
  </si>
  <si>
    <t>Revisar el componente de pedagogía del PDD con FHI360</t>
  </si>
  <si>
    <t>https://teams.microsoft.com/l/meetup-join/19%3ameeting_ZjRhMGUxYzUtNjBiYi00ZmQwLThlZDAtODZjODgwOWNhNmI2%40thread.v2/0?context=%7b%22Tid%22%3a%2226ae6adf-61be-443f-8dc4-6531b61a9a38%22%2c%22Oid%22%3a%229b024aee-a47e-4639-b10e-8327e14a5502%22%7d</t>
  </si>
  <si>
    <t>Propuesta de pedagogía para el Plan Distrital de Desarrollo; Contratación de una consultora en pedagogía; obligaciones contractuales de consultora en pedagogía.</t>
  </si>
  <si>
    <t>Recolectar propuestas ciuadadanas sobre el Plan distrital de Desarrollo, en conrdinación con  la concejala Clara Lucia Sandoval</t>
  </si>
  <si>
    <t>Recepción propuestas Plan Districtal de Desarrollo</t>
  </si>
  <si>
    <t>Reunión vicepresidente del CTPD</t>
  </si>
  <si>
    <t>Configurar informe del inventario de todas las propuestas que fueron allegadas el CTPD, en el marco de la revisión del Plan de Desarrollo Distrital.</t>
  </si>
  <si>
    <t>Héctor Hugo Álvarez Cubillos</t>
  </si>
  <si>
    <t>hhac2000@yahoo.com</t>
  </si>
  <si>
    <t xml:space="preserve">Secretaria Distrital de Planeación - CTPD 2 PISO SUPERCADE </t>
  </si>
  <si>
    <t xml:space="preserve"> Informe del inventario de  las propuestas que fueron allegadas el CTPD del Plan Ditrital de Desarrollo</t>
  </si>
  <si>
    <t>Consultorio PDD - Concejo: Jornada 16- Sector Educación</t>
  </si>
  <si>
    <t>Secretaría de Educación</t>
  </si>
  <si>
    <t>No se trataron temas</t>
  </si>
  <si>
    <t>Av. Cra. 60 No. 57 - 60, Teusaquillo, Biblioteca Virgilio Barco</t>
  </si>
  <si>
    <t xml:space="preserve">Inquietudes y/o comentarios  frente a  participación, bienestar, seguridad en la formulación del PDD, </t>
  </si>
  <si>
    <t>Actualiación de instancias, Violencia política a las  mujeres, cierre de encuentros ciudadanos, resultados de propuestas incluidas en la propuesta del PDD y fase II: aspiraciones comunes.</t>
  </si>
  <si>
    <t>Capacitación Sistema de Participación Territorial</t>
  </si>
  <si>
    <t>Socializar los contenidos del Sistema de Participación Territorial con los líderes de los setores del MOT y quienes acompañan a las entidades.</t>
  </si>
  <si>
    <t>Camilo Vásquez</t>
  </si>
  <si>
    <t>314 2045593</t>
  </si>
  <si>
    <t>camavasquezsdp@gmail.com</t>
  </si>
  <si>
    <t>Equipo OPDC</t>
  </si>
  <si>
    <t>Sede de la Secretaría Distrital de Planeación</t>
  </si>
  <si>
    <t xml:space="preserve"> componentes del Decreto 599 de 2023 mediante el que de reglamenta el Sistema de Participación Territorial</t>
  </si>
  <si>
    <t>Plan de Acción PPR - Sector Planeación</t>
  </si>
  <si>
    <t xml:space="preserve">Realizar el seguimiento individual al plan de acción de la PP Ruralidad </t>
  </si>
  <si>
    <t>Miguel Muñoz</t>
  </si>
  <si>
    <t>301 3877386</t>
  </si>
  <si>
    <t>politicapublicaderuralidad@sdp.gov.co</t>
  </si>
  <si>
    <t>meet.google.com/wne-vvtg-frb</t>
  </si>
  <si>
    <t xml:space="preserve">Observaciones sobre las herramientas, proceso de seguimiento de la PPR 2024 , Ajustes de forma identificados por la Dirección de Formulación y seguimiento a políticas públicas </t>
  </si>
  <si>
    <t>Revisar el plan de acción de la comisión Poblacional -CTPD</t>
  </si>
  <si>
    <t>Jacqueline Hérnandes</t>
  </si>
  <si>
    <t>https://meet.google.com/pcv-rkhz-coi</t>
  </si>
  <si>
    <t>Capacitación sobre el Plan de Acción</t>
  </si>
  <si>
    <t>Gestión - Capacitación para categorización de propuestas abiertas PDD</t>
  </si>
  <si>
    <t>Capacitar al equipo OPDC sobre la metodología para categorizar propuestas abiertas del PDD</t>
  </si>
  <si>
    <t>meet.google.com/mbr-dfax-xdt</t>
  </si>
  <si>
    <t>Categorización Propuestas Abiertas Plan Distrital de Desarrollo</t>
  </si>
  <si>
    <t>Consultorio PDD - Concejo: Jornada 17- Sector Mujer</t>
  </si>
  <si>
    <t>Lineamientos para la categorización de propuestas ciudadanas en el marco del PDD</t>
  </si>
  <si>
    <t>Consultorio PDD - Concejo: Jornada 18- Sector Gestión Pública</t>
  </si>
  <si>
    <t>Socialización Sistema de Participación Territorial - Renobo</t>
  </si>
  <si>
    <t>Sistema de Participación Territorial</t>
  </si>
  <si>
    <t>Socializar a Renobo los componentes del Sistema de Participación Territorial</t>
  </si>
  <si>
    <t>Camilo Vasquez</t>
  </si>
  <si>
    <t>Renobo</t>
  </si>
  <si>
    <t>Sede Renobo. Autopista Norte Calle 102</t>
  </si>
  <si>
    <t xml:space="preserve">Componentes del Sistema de Participación Territorial </t>
  </si>
  <si>
    <t>Sesión Extraordinaria Comisión Desarrollo Regional - CTPD</t>
  </si>
  <si>
    <t xml:space="preserve">Socializar y plantear las propuestas para el complemento del Plan de Acción 2024 de la Comisión de Desarrollo Regional del CTPD.
</t>
  </si>
  <si>
    <t xml:space="preserve"> https://meet.google.com/mdz-ruop-osj</t>
  </si>
  <si>
    <t>Plan de Acción 2024 Comisión Desarrollo Regional - CTPD</t>
  </si>
  <si>
    <t>Plan de trabajo Sistema de Participación Territorial con Pueblo Muisca de Suba y Bosa</t>
  </si>
  <si>
    <t>Elaborar plan de trabajo para seguimiento al Sistema de Sitios Sagrados Muisca a través del espacio especializado del Sistema de Participación Territorial.</t>
  </si>
  <si>
    <t>Jeisson Triviño</t>
  </si>
  <si>
    <t>Cabildomuiscasuba@gmail.com</t>
  </si>
  <si>
    <t>Pueblo Muisca de Suba y Bosa</t>
  </si>
  <si>
    <t>Cabildo Indígena Muisca de Suba - Carrera 86#147-23</t>
  </si>
  <si>
    <t xml:space="preserve">Plan de acción SPT; sistema de sitios sagrados Muisca; </t>
  </si>
  <si>
    <t>Gestión: Seguimiento - PIPC 2024 - EcoUrbanismo y Construcción Sostenible</t>
  </si>
  <si>
    <t>Realizar seguimiento con la Dirección de Ecourbanismo y Construcción Sostenible frente al PIPCs 2024.</t>
  </si>
  <si>
    <t>Juliana Ossa</t>
  </si>
  <si>
    <t>320 3502375</t>
  </si>
  <si>
    <t>jossa@sdp.gov.co</t>
  </si>
  <si>
    <t>https://meet.google.com/unb-dwxs-yjb</t>
  </si>
  <si>
    <t>Documento de estrategia de participación 2024 con Ecourbanismo, Espacios de participación con grupos de valor</t>
  </si>
  <si>
    <t>Plenaria permanente CTPD</t>
  </si>
  <si>
    <t>Dar continuidad al orden el dia aprobado en la plenaria ordinaria del 25 de abril</t>
  </si>
  <si>
    <t xml:space="preserve"> https://meet.google.com/khe-dhfd-nzr</t>
  </si>
  <si>
    <t>Terminar con el orden del dia de la plenaria ordinaria del 25 de abril, donde se debatieron temas como las recargas de celulares y la actualización de las actividades del plan de acción 2024</t>
  </si>
  <si>
    <t>Acompañamiento a Presentación Formulación Actuación Estratégica Calle 72</t>
  </si>
  <si>
    <t>Acompañar  la sesión donde se va a Presentar  la AE  Calle 72 y Establecer enlaces con enfoque diferencial</t>
  </si>
  <si>
    <t>John Jairo García Pulido</t>
  </si>
  <si>
    <t>jgarciap@renobo.com.co</t>
  </si>
  <si>
    <t>https://meet.google.com/jpm-oaod-zts</t>
  </si>
  <si>
    <t xml:space="preserve"> AE Calle 72 - descripción, vocación y zona de intervención del polígono.</t>
  </si>
  <si>
    <t>Capacitación Actuaciones Estratégicas</t>
  </si>
  <si>
    <t>Revisar las generalidades del instrumento, la priorización de AE para el presente año y definir acciones frente al rol de la SDP en la formulación</t>
  </si>
  <si>
    <t>Marco normativo y priorización de AE</t>
  </si>
  <si>
    <t>Primera sesión de la Subcomisión Permanente del Sistema de Participación Territorial</t>
  </si>
  <si>
    <t>Aprobar el Plan Operativo Anual de la vigencia 2024 del Sistema de Participación Territorial</t>
  </si>
  <si>
    <t>Juan Carlos Prieto García</t>
  </si>
  <si>
    <t>315 2487029</t>
  </si>
  <si>
    <t>jprieto@sdp.gov.co</t>
  </si>
  <si>
    <t>Contenidos del Sistema según el Decreto 599 de 2023; Estados de los planes de acción 2024; Proceso operativo de reportes trimestrales</t>
  </si>
  <si>
    <t>Gestion - Presentación propuesta Asamblea Deliberativa Agora</t>
  </si>
  <si>
    <t>Reglamentacion Agora Metropolitana, representatividad demográficamente representativos de género, edad, municipio y estrato y procedimiento operativo para tratar temas en el Agora</t>
  </si>
  <si>
    <t>Gestión: Reunión preparatoria acción afirmativa con Comunidad Raizal</t>
  </si>
  <si>
    <t xml:space="preserve">Realizar reunión preparatoria para la actividad de acción afirmativa con la Comunidad Raizal. </t>
  </si>
  <si>
    <t>Comunidad Raizal</t>
  </si>
  <si>
    <t>https://meet.google.com/jyc-wxht-ofc</t>
  </si>
  <si>
    <t>Acción afirmativa; Comunidad Raizal; Política Pública de Comunidad Raizal</t>
  </si>
  <si>
    <t>Comisón POT del CTPD</t>
  </si>
  <si>
    <t xml:space="preserve">Socializar el Plan de Acción 2024 de la Comisión POT </t>
  </si>
  <si>
    <t>munircardenas12@hotmail.com</t>
  </si>
  <si>
    <t>meet.google.com/vqw-cgnn-moa</t>
  </si>
  <si>
    <t xml:space="preserve">Metodología para la construcción del plan de acción de la comisión </t>
  </si>
  <si>
    <t>Transmicable San Cristóbal -JAL San Cristóbal</t>
  </si>
  <si>
    <t>Acompañar la socialización por parte del IDU y Renobo para la contratación y ejecución   de Transmicable para San Cristóbal</t>
  </si>
  <si>
    <t>Diana Ramírez</t>
  </si>
  <si>
    <t>diana.ramirez@sdp.gov.co</t>
  </si>
  <si>
    <t>Av primera de mayo 1 40</t>
  </si>
  <si>
    <t xml:space="preserve">Contrato de obra Transmicable San Cristóbal </t>
  </si>
  <si>
    <t>Mesa de trabajo AEDA</t>
  </si>
  <si>
    <t>Acompañar la revisión de la adopción de la AEDA</t>
  </si>
  <si>
    <t>Gobierno Nacional</t>
  </si>
  <si>
    <t>Puerta de Teja</t>
  </si>
  <si>
    <t>Salón comunal Puerta de Teja - CRA 96a # 25g - 26</t>
  </si>
  <si>
    <t>Respuesta a cuestionario enviado por Senador David Luna</t>
  </si>
  <si>
    <t>Capacitar el Plan de Acción Comisión Poblacional</t>
  </si>
  <si>
    <t>Jacqueline Hernández</t>
  </si>
  <si>
    <t>https://meet.google.com/cdh-vrhx-poi</t>
  </si>
  <si>
    <t>Plan de Acción a cargo de la UNAD, Plan de Acción de la Comisión que será presentado en Plenaria</t>
  </si>
  <si>
    <t>Objetivos proyecto de acuerdo PDD , Financiamiento PDD</t>
  </si>
  <si>
    <t>Articulación con DPL - Proyectos PIP y Participación</t>
  </si>
  <si>
    <t>Realizar articulación con la DPL para avanzar en la definición de la estrategia de participación para las UPL y sus respectivos PIP, en el marco de las reuniones de socialización que han surgido.</t>
  </si>
  <si>
    <t>meet.google.com/obe-ugzj-kgc</t>
  </si>
  <si>
    <t>Contexto del estado de las UPL, solicitud de lineamientos y requerimientos de participación de PIP para definir estrategia de participación y solicitud de gestión para la articulación con la SPI .</t>
  </si>
  <si>
    <t>Comisión de Participación- CTPD</t>
  </si>
  <si>
    <t>Revisar el Plan de Acción de la Comisión de participación</t>
  </si>
  <si>
    <t>Dick Dario Diaz</t>
  </si>
  <si>
    <t>https://meet.google.com/ryt-hstz-fjm</t>
  </si>
  <si>
    <t>Plan de Acción de la Comisión de Participación</t>
  </si>
  <si>
    <t>Sesión Ordinaria de la Comisión Plan de Desarrollo Distrital CTPD</t>
  </si>
  <si>
    <t>Realizar la socialización y la construcción del Plan de Acción de la Comisión de Plan de Desarrollo Distrital.</t>
  </si>
  <si>
    <t>https://meet.google.com/nnd-vejw-pfn</t>
  </si>
  <si>
    <t>Plan de Acción de la Comisión de Plan de Desarrollo Distrital</t>
  </si>
  <si>
    <t>Apuestas de la segunda versión de Smart City</t>
  </si>
  <si>
    <t>Ferias de Alto Nivel</t>
  </si>
  <si>
    <t>Acompañar la sesión de revisión de los alcances de la segunda versión de Smart City</t>
  </si>
  <si>
    <t>Secretaría de Desarrollo Económico</t>
  </si>
  <si>
    <t>Corferias</t>
  </si>
  <si>
    <t>Cra. 37 #24 - 67</t>
  </si>
  <si>
    <t>Segunda versión de la feria Smart City y alcances previstos.</t>
  </si>
  <si>
    <t xml:space="preserve">Acompañar la articulación de los esfuerzos institucionales de participación en la localidad de Puente Aranda
</t>
  </si>
  <si>
    <t>Martha Edid Lopez</t>
  </si>
  <si>
    <t>mlopez@participacionbogota.gov.co</t>
  </si>
  <si>
    <t xml:space="preserve"> Alcaldía Local de Puente Aranda Cl. 4 #31D-30</t>
  </si>
  <si>
    <t>Encuentro Ciudadanos Localidad Puente Aranda, Actuación Estratégicas ZIBO,  Observatorio Puente Aranda</t>
  </si>
  <si>
    <t>DPL -Lineamientos estrategia de participación - servicios públicos</t>
  </si>
  <si>
    <t xml:space="preserve">Acompañar  la subdirección de Planes Maestros en la definición de la estrategia de participación - servicios públicos   </t>
  </si>
  <si>
    <t>Paola Andrea Gamez</t>
  </si>
  <si>
    <t>pgamez@sdp.gov.co</t>
  </si>
  <si>
    <t>Subdirección de Planes Mastros</t>
  </si>
  <si>
    <t>meet.google.com/fru-bvhk-sjs</t>
  </si>
  <si>
    <t xml:space="preserve">Diligenciamiento documento de la estrategia </t>
  </si>
  <si>
    <t>Sesión de vocero y no voceros</t>
  </si>
  <si>
    <t>Taller de diálogo  Actuación Estratégica Campín 7 de Agosto</t>
  </si>
  <si>
    <t>Construcción de Directrices de Actuaciones Estratégicas</t>
  </si>
  <si>
    <t>Socializar  y construir las directrices para la formulación de la Actuación Estratégica Campín 7 de Agosto</t>
  </si>
  <si>
    <t>Juan Carlos Bohorquez</t>
  </si>
  <si>
    <t>7 de Agosto</t>
  </si>
  <si>
    <t>Cra. 27a #63b13</t>
  </si>
  <si>
    <t>No se logró desarrollar el espacio</t>
  </si>
  <si>
    <t>Votación del articulado del Plan Distrital de Desarrollo</t>
  </si>
  <si>
    <t>Reunión - Concejal Julian Triana</t>
  </si>
  <si>
    <t>En el marco del Sistema de Participación Territorial  brindar información sobre la participación en la reglamentación de las UPL durante el 2022 y 2023</t>
  </si>
  <si>
    <t>Participación ciudadana en los PIP en el marco de PDD</t>
  </si>
  <si>
    <t>Gestión - Sistema de Participación Territorial - Sector Ambiente</t>
  </si>
  <si>
    <t xml:space="preserve">Atender la solicitud de la Secretaria de Ambiente en relación a la contextualización del SPT a las 4 entidades que conforman el Sector Ambiente </t>
  </si>
  <si>
    <t>Sergio Burgos</t>
  </si>
  <si>
    <t>315 6646425</t>
  </si>
  <si>
    <t>sergio.burgos@ambientebogota.gov.co</t>
  </si>
  <si>
    <t>meet.google.com/inv-juyh-gsz</t>
  </si>
  <si>
    <t>Herramientas del SPT, Plan de Acción Sector Ambiente</t>
  </si>
  <si>
    <t>Sesión plenaria de aprobación de parte de artículos del PDD</t>
  </si>
  <si>
    <t>Audiencia del Decreto 563 de 2023</t>
  </si>
  <si>
    <t>Socializar el proceso de modificación del Decreto 563 de 2023 en el marco del SPT</t>
  </si>
  <si>
    <t>Sergio Pachón</t>
  </si>
  <si>
    <t>Congreso de la República - Cra. 7 #10-00</t>
  </si>
  <si>
    <t>Modificación del Decreto 563 de 2023</t>
  </si>
  <si>
    <t>Reunión de articulación- DPL</t>
  </si>
  <si>
    <t>Articular el trabajo conjunto para las estrategias de participación UPL y AE de acuerdo con el contexto, alcances y ciclos de ambos instrumentos.</t>
  </si>
  <si>
    <t>Edificio CAD piso 8</t>
  </si>
  <si>
    <t>Contexto y articulación para las estrategias de participación UPL y AE</t>
  </si>
  <si>
    <t>Audiencia Publica - El cambio debe verse en el Centro de Bogotá</t>
  </si>
  <si>
    <t>Acompañar la discusión del desarrollo urbano para la UPL Centro Histórico.</t>
  </si>
  <si>
    <t>Martha Avila</t>
  </si>
  <si>
    <t>mavilad@sdp.gov.co</t>
  </si>
  <si>
    <t>Planes Urbanos en el Centro Histórico, Espacios de participación cidadana en el Barrio San Bernardo, Normativa para desarrollo Urbano en el barrio San Bernardo</t>
  </si>
  <si>
    <t>Sesión Consejo de Propiedad Horizontal</t>
  </si>
  <si>
    <t>Acompañamiento a la sesión del CDPH</t>
  </si>
  <si>
    <t xml:space="preserve">IDPAC </t>
  </si>
  <si>
    <t>https://teams.microsoft.com/l/meetup-join/19%3ameeting_NGJlYjM2ZjItNjM1ZS00NzU4LWJhMzctYmM1MzBkZDA2Zjk5%40thread.v2/0?context=%7b%22Tid%22%3a%220f1156f1-406d-4123-99f0-a976b835b9b6%22%2c%22Oid%22%3a%2228e5563c-fcfc-4492-9b8f-d9bf0268da71%22%7d</t>
  </si>
  <si>
    <t>Balance de las acciones respecto a PDD y Política Pública</t>
  </si>
  <si>
    <t xml:space="preserve">Aprobacion de articulos del  Plan Distritral de Desarrollo </t>
  </si>
  <si>
    <t xml:space="preserve">Política Pública de Ruralidad y su Plan de Acción </t>
  </si>
  <si>
    <t xml:space="preserve">Socializar las generalidades conceptuales, metodológicas y programáticas de la Política Pública de Ruralidad. </t>
  </si>
  <si>
    <t>Secretaría Distrital de Ambiente</t>
  </si>
  <si>
    <t>Consolidar la arquitectura de las asambleas ciudadanas con organizaciones de la sociedad civil</t>
  </si>
  <si>
    <t>320 8382088</t>
  </si>
  <si>
    <t>Sala B piso 5 de la SDP - edificio CAD</t>
  </si>
  <si>
    <t xml:space="preserve">Construcción del documento para la meta asamblea ciudadana </t>
  </si>
  <si>
    <t>Generalidades POT y UPL/PIP - Sectores Suoriente y Ruralidad</t>
  </si>
  <si>
    <t>Socializar contenidos POT - UPL y PIP para las localidades de Usme, Tunjuelito, Ciudad Bolívar y Sumapaz</t>
  </si>
  <si>
    <t>601 3358000 ext 8512</t>
  </si>
  <si>
    <t>Arborizadora alta, Ciudad Bolívar</t>
  </si>
  <si>
    <t xml:space="preserve">Carrera 44 D # 69-32 SUR - Unidad de Servicios de Salud Manuela Beltrán </t>
  </si>
  <si>
    <t>Plan de Ordenamiento Territorial decreto 555; Unidades de Planeamiento Local; Proyectos Integrales de Proximidad; Estrategia de participación formulación UPL</t>
  </si>
  <si>
    <t>Proceso de debate para aprobación de Plan Distrital de Desarrollo</t>
  </si>
  <si>
    <t>Comisión POT del CTPD</t>
  </si>
  <si>
    <t>munircardenas12@gmail.com</t>
  </si>
  <si>
    <t>meet.google.com/ffk-ndwy-jio</t>
  </si>
  <si>
    <t>Plan de acción 2024 de la comisión POT</t>
  </si>
  <si>
    <t>Sesión  Extraordinaria Comisión Desarrollo Regional CTPD</t>
  </si>
  <si>
    <t>Realizar el acompañamiento como secretaría técnica a la Comisión de Desarrollo Regional del CTPD.</t>
  </si>
  <si>
    <t>https://meet.google.com/drg-jgtb-xzp</t>
  </si>
  <si>
    <t xml:space="preserve">Socialización de aspectos trabajados en la reunión con RAPE, formulario de revisión de problemáticas. Propuesta de las actividades acordes a la problematización trabajada </t>
  </si>
  <si>
    <t>Proyecto de Acuerdo distrital 368 de 2024; Discusión y aprobación articulado</t>
  </si>
  <si>
    <t>Audiencia Pública de Rendición de Cuentas IDPAC vigencia 2023</t>
  </si>
  <si>
    <t>Acompañar en calidad de entidad invitada, la rendición de cuentas del IDPAC 2023</t>
  </si>
  <si>
    <t>Juan Pablo Camacho, director IDPAC</t>
  </si>
  <si>
    <t>PBX: (57) (1) 2417900 - 2417930</t>
  </si>
  <si>
    <t>rendiciondecuentas@participacionbogota.gov.co</t>
  </si>
  <si>
    <t xml:space="preserve">Fundación Universidad Jorge Tadeo Lozano Aula Máxima - Entrada Principal </t>
  </si>
  <si>
    <t>Rendición de cuentas del IDPAC</t>
  </si>
  <si>
    <t>Actividad de cumplimento para acción afirmativa con Comunidad Raizal</t>
  </si>
  <si>
    <t>Realizar actividad de socialización de la política pública de negros afrocolombianos, palenqueros y raizales en el marco de cumplimiento de  la acción afirmativa pendiente por ejecutar con la Comunidad Raizal</t>
  </si>
  <si>
    <t xml:space="preserve">Organización ORFA en representación de la Comunidad Raizal residente en Bogota  </t>
  </si>
  <si>
    <t>Parque de los Niños y de las Niñas (Av. La Esmeralda #63-12)</t>
  </si>
  <si>
    <t xml:space="preserve">Acción afirmativa; conpes distrital 38; comunidad raizales </t>
  </si>
  <si>
    <t>Acompañar la discusión del proyecto de acuerdo del Plan Distrital de Desarrollo, de cara al proceso de debate para su aprobación en el Concejo Distrital</t>
  </si>
  <si>
    <t>Metas y vigencia del Plan Distrital de Desarrollo.</t>
  </si>
  <si>
    <t>Gala Sergio Urrego</t>
  </si>
  <si>
    <t>Destacar el activismo de toda una vida en prevención de la discriminación.</t>
  </si>
  <si>
    <t>Fundación Sergio Urrego</t>
  </si>
  <si>
    <t>contacto@sergiourrego.org</t>
  </si>
  <si>
    <t>Macarena</t>
  </si>
  <si>
    <t>Cra. 7 #N. 28-66- Museo Nacional de Colombia</t>
  </si>
  <si>
    <t>Reunión con presidentes de JAC con incidencia en la APP Campin y AE Campin 7 de agosto</t>
  </si>
  <si>
    <t>Acompañar la respuesta de inquietudes respecto a la APP Campin y AE Campin 7 de Agosto de manera preliminar para posteriormente organizar las actividades de participación</t>
  </si>
  <si>
    <t xml:space="preserve">Nicolas de Federman, San Luis, Campin, Campinsito, etc </t>
  </si>
  <si>
    <t>Super CADE Cra 30. Sala piso 5</t>
  </si>
  <si>
    <t>Compromisos para el desarrollo de las actividades de participación en torno a la formulación de la AE Campin 7 de agosto</t>
  </si>
  <si>
    <t>Gestión: concertación acciones afirmativas Pueblo Rrom</t>
  </si>
  <si>
    <t>Concertar el plan de trabajo para el cumplimiento del Plan Integral de Acciones Afirmativas de la vigencia 2024 con el Pueblo Rrom Gitano</t>
  </si>
  <si>
    <t>https://teams.microsoft.com/l/meetup-join/19%3ameeting_OWQzMjk5NDEtNDA5MC00MDIyLTk4ZmUtY2EzYjFkZTUyYzJh%40thread.v2/0?context=%7b%22Tid%22%3a%2214de155f-e192-44da-994d-1913d8658372%22%2c%22Oid%22%3a%2204a273b8-28ba-4099-9b31-ca5e8d396a0f%22%7d</t>
  </si>
  <si>
    <t>Plan de trabajo para el cumplimiento de la acción afirmativa del art 66 del PDD 2020-2024 con el Pueblo Rrom Gitano</t>
  </si>
  <si>
    <t>Capacitación - UPL y PIP líderes sectores MOT</t>
  </si>
  <si>
    <t>Capacitar a los líderes de los 7 sectores MOT en tema Unidades de Planeamiento Local y Proyectos Integrales de Proximidad, contexto y continuación de estrategia.</t>
  </si>
  <si>
    <t>Cra 30 # 25 - 90</t>
  </si>
  <si>
    <t xml:space="preserve">Contexto POT, UPL, PIP y Ruta de participación. </t>
  </si>
  <si>
    <t>Proyecto de acuerdo segundo Debate del proyecto de acuerdo 368 de 2024 mediante el cual se adopta el plan de desarrollo económico, social, ambiental y de obras públicas del Distrito Capital 2024-2027</t>
  </si>
  <si>
    <t xml:space="preserve"> Sesión extraordinaria - Mesa Distrital de Víctimas</t>
  </si>
  <si>
    <t>Acompañar la sesión extraordinaria para analizar las propuestas del PDD.</t>
  </si>
  <si>
    <t>MDPEV</t>
  </si>
  <si>
    <t>stecnicamdpev@personeriabogota.gov.co</t>
  </si>
  <si>
    <t>Cra 10 # 27-51 torre norte - 2 piso - zona comercial oficina 201 – 202.</t>
  </si>
  <si>
    <t>Inquietudes de la Mesa sobre propuesta para el PDD Y Plan de Acción Distrital 2024 - 2028</t>
  </si>
  <si>
    <t>Encuentro Fundación Colombia 2050</t>
  </si>
  <si>
    <t>Realizar un encuentro con la Fundación Colombia 2050 para garantizar un espacio de articulación de perspectivas juveniles con diversas instancias de la administración distrital.</t>
  </si>
  <si>
    <t>Agremiación o sociedad</t>
  </si>
  <si>
    <t>Articulación del portafolio Fundación Colombia 2050 con procesos de participación estratéticos de la SDP.</t>
  </si>
  <si>
    <t>Evento - conmemoración 129 años de la Unidad de Bomberos de Bogotá</t>
  </si>
  <si>
    <t>Acompañar el homenaje a los 129 años del Cuerpo Oficial de Bomberos de Bogotá.</t>
  </si>
  <si>
    <t>Unidad Administrativa Cuerpo de Bomberos</t>
  </si>
  <si>
    <t>Plaza de Bolívar de Bogotá</t>
  </si>
  <si>
    <t>Homenaje a la Unidad Especial Cuerpo de Bomberos Bogotá; Reconocimiento por años de servicio a bomberos activos, retirados y fallecidos; Palabras secretario Seguridad y Alcalde Mayor.</t>
  </si>
  <si>
    <t>CLIP Mártires</t>
  </si>
  <si>
    <t xml:space="preserve">Acompañar la articulación entre instituciones de participación en la localidad de Los Mártires.  </t>
  </si>
  <si>
    <t>Samper Mendoza</t>
  </si>
  <si>
    <t>Secretaría Distrital de Integración Social (Diagonal 22 b Bis # 20 - 51  Auditorio - Samper Mendoza)</t>
  </si>
  <si>
    <t>Estado y avance proceso de Planeación Participativa (Encuentros Ciudadanos) para el Plan Desarrollo Local, Planes de capacitación para Sistema Distrital de Participación Ciudadana</t>
  </si>
  <si>
    <t>Reunión Junta Directiva CTPD</t>
  </si>
  <si>
    <t xml:space="preserve">Revisión de concepto de inclusión de nuevos sectores ante el CTPD, consolidado Plan de Acción CTPD y consolidado de solicitud de recargas CTPD. </t>
  </si>
  <si>
    <t xml:space="preserve">Piso 2 - CTPD </t>
  </si>
  <si>
    <t>Gestión: Mesa intersectorial  SPT -SSSM</t>
  </si>
  <si>
    <t>Realizar mesa intersectorial para definir competencias, incidencia y alcances del escenario del Pueblo Muisca en el Sistema de Participación Territorial.</t>
  </si>
  <si>
    <t>Giovanna Torres</t>
  </si>
  <si>
    <t xml:space="preserve">Av. Carrera 30 #25-90 </t>
  </si>
  <si>
    <t>Sistema de sitios sagrados Muisca; resolución 2664 de 2023; sistema de participación territorial</t>
  </si>
  <si>
    <t>Proyecto de Acuerdo distrital 368 de 2024; supresión de articulos</t>
  </si>
  <si>
    <t>Mesa de trabajo Foro - Veeduría Distrital</t>
  </si>
  <si>
    <t>Continuar plan de acción de la red y aunar esfuerzos para el desarrollo del foro y diplomado</t>
  </si>
  <si>
    <t>gosorio@veeduriadisrital.gov.co</t>
  </si>
  <si>
    <t>Sala de juntas rectoría Universidad Distrital</t>
  </si>
  <si>
    <t xml:space="preserve">Planeación actividad foro del segundo semestre en el marco de plan de acción de la Red institucional de Apoyo a las Veedurías Ciudadanas </t>
  </si>
  <si>
    <t>sesión plenaria y discusión de articulos con temas de: procesos de Renovación urbana, seguridad y justicia social, suelo para viviendas, agua en bogotá, desarrollo urbano y pobreza.</t>
  </si>
  <si>
    <t>Socialización Plan Parcial de Desarrollo Los Búhos</t>
  </si>
  <si>
    <t>Planes Parciales de Desarrollo</t>
  </si>
  <si>
    <t>Socializar la Formulación del Plan Parcial de Desarrollo Los Búhos , recibir aportes y solucionar inquietudes de la ciudadania interesada.</t>
  </si>
  <si>
    <t>sub.renovacionurbana@sdp.gov.co</t>
  </si>
  <si>
    <t>POZ Norte</t>
  </si>
  <si>
    <t>Punto de Atención al Ciudadano Lagos de Torca - Autopista Nte. #224-60</t>
  </si>
  <si>
    <t>Propuesta de formulación del Plan Parcial de Desarrollo Los Búhos, socialización de inquietudes, aportes e inconformidades de los vinculados y vecinos del Plan Parcial.</t>
  </si>
  <si>
    <t>Convocatoria de elección de organizaciones sociales al CTPD por parte de la SDS</t>
  </si>
  <si>
    <t xml:space="preserve">Elegir la vacante de la curul por organizaciones sociales de discapacidad para el CTPD </t>
  </si>
  <si>
    <t>Olga Lucia Mancera Leguizamon</t>
  </si>
  <si>
    <t>601 3649090</t>
  </si>
  <si>
    <t>olmancera@saludcapital.gov.co</t>
  </si>
  <si>
    <t>Carrera 65 # 103 – 66 - Unidad Médica Hospitalaria Especializada en Salud (UMHE) Fray
Bartolomé de las Casas</t>
  </si>
  <si>
    <t>Acompañar el proceso de articulación institucional para la participación ciudadana en la localidad de Ciudad Bolivar.</t>
  </si>
  <si>
    <t>Jimmy Martinez Castro</t>
  </si>
  <si>
    <t>jmcastro@participacionbogota.gov.co</t>
  </si>
  <si>
    <t>https://teams.microsoft.com/l/meetup-join/19%3ameeting_ZTJmNzI3ZjUtNTRjMC00ZjRlLTk5NGEtNDBkMWZhZWExZjg0%40thread.v2/0?context=%7b%22Tid%22%3a%220f1156f1-406d-4123-99f0-a976b835b9b6%22%2c%22Oid%22%3a%22d1aec604-84bf-41fe-898e-8330e07d11b8%22%7d</t>
  </si>
  <si>
    <t>Se realizó la presentación de resultados para la localidad de Ciudad Bolivar de la segunda fase de construcción del plan de desarrollo aspiraciones</t>
  </si>
  <si>
    <t>Discusión y aprobación de artículos del PDD.</t>
  </si>
  <si>
    <t>Evento virtual  socialización resultados Encuesta Servidores- Veeduría Distrital-IIPC</t>
  </si>
  <si>
    <t>Socializar la consolidación de los resultados del IIPC (2021, 2022 y 2023) y los resultados de la Encuesta de percepción de servidores y colaboradores sobre participación y control social en el Distrito Capital aplicada en el año 2024.</t>
  </si>
  <si>
    <t>Yessica Alexandra Lucero Acero</t>
  </si>
  <si>
    <t>ylucero@veeduriadistrital.gov.co</t>
  </si>
  <si>
    <t>https://meet.google.com/ijr-yrtw-jbn</t>
  </si>
  <si>
    <t xml:space="preserve">Resultados índice institucional de participación ciudadana </t>
  </si>
  <si>
    <t>Vencido</t>
  </si>
  <si>
    <t>Gestión: Plan de trabajo para acciones afirmativas Comunidad Negra Afrocolombiana</t>
  </si>
  <si>
    <t>Elaborar el plan de trabajo para la realización de actividades que permitan cumplir con las acciones afirmativas que la OPDC tiene con la comunidad negra afrocolombiana.</t>
  </si>
  <si>
    <t>edwin.caicedo@gobierbobogota.gov.co</t>
  </si>
  <si>
    <t xml:space="preserve">Comunidad negra afrocolombiana </t>
  </si>
  <si>
    <t>https://meet.google.com/ttr-xwhw-yvm</t>
  </si>
  <si>
    <t>Construcción del plan de trabajo para las acciones afirmativas correspondientes a la vigencia 2023</t>
  </si>
  <si>
    <t>Lectura de la respuesta a la solicitud de concepto jurídico, respecto de la inclusión de los sectores de voluntariado y jueces de paz al CTPD. Recargas de celulares.</t>
  </si>
  <si>
    <t>Liliana de Los Ángeles de Urrego Navarro</t>
  </si>
  <si>
    <r>
      <rPr>
        <sz val="8"/>
        <rFont val="Calibri"/>
      </rPr>
      <t xml:space="preserve">Piso 2 - CTPD -  </t>
    </r>
    <r>
      <rPr>
        <u/>
        <sz val="8"/>
        <color rgb="FF1155CC"/>
        <rFont val="Calibri"/>
      </rPr>
      <t>https://meet.google.com/xuj-bdts-pnu</t>
    </r>
  </si>
  <si>
    <t>Revisar ajuste a la Propuesta de Asamblea deliberativa Metropolitana - Agora</t>
  </si>
  <si>
    <t>https://meet.google.com/bvw-scnx-cxw</t>
  </si>
  <si>
    <t>Propuesta reglamentacion Agora Metropolitana, modo de selección de los participantes y conformación</t>
  </si>
  <si>
    <t>Evento - Experiencias Inspiradoras: Comités Ciudadanos</t>
  </si>
  <si>
    <t>Presentar los comités ciudadanos del POT como experiencia de control social y de promoción a la participación</t>
  </si>
  <si>
    <t>July Carolina Romero Ortiz</t>
  </si>
  <si>
    <t>jromero@veeduriadistrital.gov.co</t>
  </si>
  <si>
    <t>Cl 26b #5-93-Planetario de Bogotá</t>
  </si>
  <si>
    <t>Experiencias de control social y participación</t>
  </si>
  <si>
    <t>Mesa de trabajo Estrategia Microterritorial -  JAC</t>
  </si>
  <si>
    <t>Trabajo de Estrategia Micro territorial, para dignatarias y dignatarios de las JAC y la Asociación de Juntas de Acción Comunal para la discusión y avances en los objetivos en torno a la Localidad de Suba.</t>
  </si>
  <si>
    <t xml:space="preserve">Ana Isabel Hortua Salcedo </t>
  </si>
  <si>
    <t>alcalde.suba@gobiernobogota.gov.co</t>
  </si>
  <si>
    <t xml:space="preserve">
Biblioteca Francisco José de Caldas, Carrera 92 No. 146 C - 24</t>
  </si>
  <si>
    <t>Trabajo de Estrategia Micro territorial, para dignatarias y dignatarios de las JAC y la Asociación de Juntas de Acción Comunal para la discusión y avances en los objetivos en torno a la Localidad Suba</t>
  </si>
  <si>
    <t>Aprobación del Acuerdo 368 de 2024 donde se establece el Plan Distrital de Desarrollo 2024-2027 Bogotá Camina Segura</t>
  </si>
  <si>
    <t>Realizar el acompañamiento como secretaria técnica a la Comisión de Desarrollo Regional del CTPD, para realizar la aprobación del Plan de Acción de la Comisión.</t>
  </si>
  <si>
    <t>https://meet.google.com/nwh-sbnk-bzr</t>
  </si>
  <si>
    <t>Único punto, plan de acción.</t>
  </si>
  <si>
    <t>Dar continuidad al plan de acción establecido</t>
  </si>
  <si>
    <t>Faltante</t>
  </si>
  <si>
    <t>Avance plan de acción red</t>
  </si>
  <si>
    <t>Retroalimentación proyecto Asambleas Deliberativas</t>
  </si>
  <si>
    <t>Presentar los avances de elaboración del Proyecto para compartir retroalimentación y compromisos</t>
  </si>
  <si>
    <t>Carrera 30 # 25-90, piso 8</t>
  </si>
  <si>
    <t>Avances proyecto asamblea deliberativa</t>
  </si>
  <si>
    <t>Plenaria ordinaria CTPD</t>
  </si>
  <si>
    <t>Presentación del Plan Territorial de Salud SDS, Lectura de la respuesta a la solicitud de concepto jurídico, respecto de la inclusión de los sectores de voluntariado y jueces de paz al CTPD y socialización de decisión tomada por la mesa directiva, Plan de acción CTPD 2024.(presentación UNAD), Activación del comité de convivencia del CTPD.</t>
  </si>
  <si>
    <t xml:space="preserve"> https://meet.google.com/ret-cpra-xdo</t>
  </si>
  <si>
    <t>Presentación del Plan Territorial de Salud SDS.  Activación del comité de convivencia del CTPD. Recargas de celulares.  Análisis del ejercicio del PDD</t>
  </si>
  <si>
    <t>Acompañar la articulación de los esfuerzos institucionales de participación en la localidad de Usme</t>
  </si>
  <si>
    <t>Oswaldo</t>
  </si>
  <si>
    <t>https://teams.microsoft.com/l/meetup-join/19%3ameeting_MDg3M2VlNGUtZTE3Ni00MzBlLWIzNTAtNmYzYTg0MzUzNmQ4%40thread.v2/0?context=%7b%22Tid%22%3a%2214de155f-e192-44da-994d-1913d8658372%22%2c%22Oid%22%3a%22f555f17c-d2af-4840-b055-999507699c5a%22%7d</t>
  </si>
  <si>
    <t>Avances entorno al PDD y resultados de la fase Aspiraciones comunes, Reactivación del STP y Re activación de presupuestos participativos en sus fases 1 y 2.</t>
  </si>
  <si>
    <t>Gestión: Plan de trabajo para acciones afirmativas con Comunidad Palenquera</t>
  </si>
  <si>
    <t>Elaborar plan de trabajo que permita cumplir con las acciones afirmativas que la OPDC tiene con la comunidad palenquera</t>
  </si>
  <si>
    <t>Comunidad palenquera</t>
  </si>
  <si>
    <t>Av. Carrera 30 #25-90</t>
  </si>
  <si>
    <t>Definición de recursos y fechas de acciones afirmativas</t>
  </si>
  <si>
    <t>Comité coordinador - Asambleas ciudadanas</t>
  </si>
  <si>
    <t>Avanzar con aspectos operativos de convocatoria de meta asamblea</t>
  </si>
  <si>
    <t>Convocatoria meta asamblea</t>
  </si>
  <si>
    <t>Reunión preparatoria para talleres de AE Campín 7 de Agosto con presidentes de JAC</t>
  </si>
  <si>
    <t>Definir las estrategias de participación conjuntas con los presidentes de las JAC para los talleres de formulación de la AE Campin 7 de agosto.</t>
  </si>
  <si>
    <t>Martha Milena Avila de la Hoz</t>
  </si>
  <si>
    <t>Kra 30 # 25 - 90 Pisos 5 Sala B</t>
  </si>
  <si>
    <t>Información técnica a los presidentes de las JAC de la AE Campin 7 de agosto para transmitir en sus respectivas comunidades.</t>
  </si>
  <si>
    <t>Gestión: Construcción de agenda - Sector Suroccidente</t>
  </si>
  <si>
    <t>Construir la agenda del sector conjuntamente con la DPL.</t>
  </si>
  <si>
    <t>Fabián Rodríguez</t>
  </si>
  <si>
    <t>https://meet.google.com/esw-pgho-emn</t>
  </si>
  <si>
    <t xml:space="preserve">Ruta de la participación 2022-2023, generalidades del sector Suroccidente, Upl´s, AE, PIP. </t>
  </si>
  <si>
    <t>Encuentro Ciudadano Local - Sumapaz</t>
  </si>
  <si>
    <t>Planes de Desarrollo Local</t>
  </si>
  <si>
    <t>Acompañar el espacio para recoger aportes de la comunidad para el Plan de Desarrollo Local de Sumapaz.</t>
  </si>
  <si>
    <t>ctorres@gobiernobogota.gov.co</t>
  </si>
  <si>
    <t>Sumapaceña</t>
  </si>
  <si>
    <t xml:space="preserve">Centro Poblado Nazareth </t>
  </si>
  <si>
    <t xml:space="preserve">Conceptos de gasto para la formulación del Plan de Desarrollo Local. </t>
  </si>
  <si>
    <t>CLIP Santa Fe</t>
  </si>
  <si>
    <t>Acompañar la articulación de los esfuerzos institucionales de participación en la localidad de Santa Fe</t>
  </si>
  <si>
    <t>Cra2#4-10 (CDC Lourdes)</t>
  </si>
  <si>
    <t>Resultado fase 2 Aspiraciones Comunes PDD,  Programa de Oferta Preferente de Subsidios de Vivienda, Casa de experiencias de la participación - IDPAC y Balance conceptos de gasto Alcaldía Local</t>
  </si>
  <si>
    <t>Acompañar el proceso de articulación institucional para la participación ciudadana en la localidad de fontibón y socializar los resultados de segunda fase PDD</t>
  </si>
  <si>
    <t>Nohora Rodriguez</t>
  </si>
  <si>
    <t>Fontibón centro</t>
  </si>
  <si>
    <t>Alcaldía local de fontibon</t>
  </si>
  <si>
    <t>Socialización Resultados Fase II: Aspiraciones Comunes, Plan de Desarrollo “Bogotá Camina Segura – 2024 – 2027”, Socialización ganadores Proyecto Fortalecimiento de Instancias, Varios</t>
  </si>
  <si>
    <t>Continuar Con El Orden Del Dia De La Plenaria Ordinaria Del 30 De Marzo</t>
  </si>
  <si>
    <t>https://meet.google.com/jti-wabi-odb</t>
  </si>
  <si>
    <t>Activación del comité de convivencia y recargas para el CTPD</t>
  </si>
  <si>
    <t>Revisión de compromisos con Cabildo Muisca de Suba</t>
  </si>
  <si>
    <t>Revisar el estado de los compromisos adquiridos con el Cabildo Muisca de Suba en el marco del Sistema de Participación Territorial</t>
  </si>
  <si>
    <t>Cabildo Muisca de Suba</t>
  </si>
  <si>
    <t>Secretaria Distrital de Gobierno</t>
  </si>
  <si>
    <t>Sistema de Participación Territorial; Sistema de Sitios Sagrados Muisca; Decret0 612; Política Pública para los Pueblos Indígenas</t>
  </si>
  <si>
    <t>Incompleto</t>
  </si>
  <si>
    <t>Comite Intersectorial del PDD</t>
  </si>
  <si>
    <t>Realizar el seguimiento a las acciones previstas en la estrategia de participación del PDD</t>
  </si>
  <si>
    <t>Las Americas</t>
  </si>
  <si>
    <t xml:space="preserve">https://meet.google.com/rgr-dzux-doc?hs=224  </t>
  </si>
  <si>
    <t>Balance Fase uno y Fase 2 PDD</t>
  </si>
  <si>
    <t xml:space="preserve">Acompañar el proceso de articulación institucional para la participación ciudadana en la localidad de Sumapaz. </t>
  </si>
  <si>
    <t>Cristian David Rincón</t>
  </si>
  <si>
    <t>rincon@participacionbogota.gov.co</t>
  </si>
  <si>
    <t>https://teams.microsoft.com/l/meetup-join/19%3ameeting_NTUxNzg2NWMtNmExZS00OTFhLWI4NzQtZDNhMWEyOTYzOWI4%40thread.v2/0?context=%7b%22Tid%22%3a%220f1156f1-406d-4123-99f0-a976b835b9b6%22%2c%22Oid%22%3a%22acdfd3a1-8938-4ca8-85b7-1809dbc8ce08%22%7d</t>
  </si>
  <si>
    <t xml:space="preserve">Organigrama IDPAC, Plan de Acción de la CLIP, Salud Mental, Derechos Humanos, articulación agenda territorial, resultados chatico. </t>
  </si>
  <si>
    <t>Gestión: Preparatoria Acción Afirmativa Pueblo Rrom - Gitano</t>
  </si>
  <si>
    <t xml:space="preserve">Definir actividad, fecha y ejecución financiera de la acción afirmativa de la OPDC con el Pueblo Rrom Gitano en el marco del articulo 66 del PDD 2020-2024. </t>
  </si>
  <si>
    <t>Dalila Gómez</t>
  </si>
  <si>
    <t>anadalilagb@gmail.com</t>
  </si>
  <si>
    <t>https://meet.google.com/jpf-chxn-jev</t>
  </si>
  <si>
    <t xml:space="preserve">Definición de fechas y ejecución financiera de la acción afirmativa </t>
  </si>
  <si>
    <t>Acompañar la articulación de los esfuerzos institucionales de participación en la localidad de Rafael Uribe Uribe y presentar el estado actual del PDD.</t>
  </si>
  <si>
    <t>Álvaro Córdoba Álvarez</t>
  </si>
  <si>
    <t>Colinas</t>
  </si>
  <si>
    <t>Carrera 13B # 31G – 40 Sur.  CDC COLINAS</t>
  </si>
  <si>
    <t>Socialización de los resultados de la segunda fase de construcción del PDD</t>
  </si>
  <si>
    <t>Gestión: Reunión con Veeduría Distrital</t>
  </si>
  <si>
    <t>Establecer una hoja de ruta para la creación de los Comités de la Ciudadanía en el marco del Sistema de Participación Territorial</t>
  </si>
  <si>
    <t>Juan Mesa</t>
  </si>
  <si>
    <t>jmesac@renobo.com.co</t>
  </si>
  <si>
    <t>Calle 32 No. 16</t>
  </si>
  <si>
    <t>Articulación de los Comités de la Ciudadanía en las Actuaciones Estratégicas</t>
  </si>
  <si>
    <t>Acompañar la articulación de los esfuerzos institucionales de participación en la localidad de La Candelaria.</t>
  </si>
  <si>
    <t>Casa Comunitaria del Zipa (Calle 9 # 3 - 37)</t>
  </si>
  <si>
    <t>Presentación del análisis del espacio de respuestas al concepto emitido por el CTPD frente al PDD, para la Localidad de Usaquén, el objetivo priorizado fue, Bogotá avanza en su seguridad, Bogotá confía en su Bien-estar y Bogotá confía en su Gobierno.</t>
  </si>
  <si>
    <t>Gestión: Preparación de metodologías para actividades de acciones afirmativas - Comunidad Palenquera</t>
  </si>
  <si>
    <t>Elaborar y concertar las metodologías para la realización de actividades que permitan dar cumplimiento a las acciones afirmativas que se tienen con la Comunidad Palenquera</t>
  </si>
  <si>
    <t>Carrera 3#10-72 Posa Wiwa</t>
  </si>
  <si>
    <t>Definición de fechas, bosquejo de metodología y ejecución financiera de las acciones afirmativas</t>
  </si>
  <si>
    <t>Calle 120 A No. 7-55</t>
  </si>
  <si>
    <t>presentación del proceso de participación de encuentros ciudadanos, presentación de los resultados de participación por localidad en el PDD</t>
  </si>
  <si>
    <t>Seguimiento Secretaría de Planeación de Cundinamarca</t>
  </si>
  <si>
    <t>Presentar avances propuesta Agora Metropolitana</t>
  </si>
  <si>
    <t>Gobernación de Cundinamarca, calle 26 #51-53</t>
  </si>
  <si>
    <t>Reglamentación Ágora metropolitana</t>
  </si>
  <si>
    <t>Acompañar la articulación de los esfuerzos institucionales de participación en la localidad de San Cristóbal y presentar el estado actual del PDD.</t>
  </si>
  <si>
    <t>Heidy Natalie Garcia Gonzalez</t>
  </si>
  <si>
    <t>hgarcia@participacionbogota.gov.co</t>
  </si>
  <si>
    <t>Auditorio de la Alcaldía Local de San Cristóbal - Cl. 20 Sur, San Cristóbal, Bogotá</t>
  </si>
  <si>
    <t>Estado actual del PDD, resultados de los encuentros ciudadanos e inicio de las fases 1 y 2 de los presupuestos participativos.</t>
  </si>
  <si>
    <t>Continuar con el orden del día de la plenaria ordinaria del 30 de marzo de 2024</t>
  </si>
  <si>
    <t>https://teams.microsoft.com/l/meetup-join/19%3ameeting_NTczOGE3MzMtZjNiNi00MWQzLTgzMWYtYzI3YzI5NWNhNGI2%40thread.v2/0?context=%7b%22Tid%22%3a%22823ace76-f3f5-4396-9a3b-bb149c779beb%22%2c%22Oid%22%3a%228b219c5d-e070-459b-bb43-69273d60b008%22%7d</t>
  </si>
  <si>
    <t>Beneficio de las recargas para el CTPD</t>
  </si>
  <si>
    <t>Recorrido AE Campín 07 de Agosto - Sector 07 de Agosto</t>
  </si>
  <si>
    <t>Realizar un recorrido con la comunidad para informar sobre las directrices de la AE sector 7 de agosto.</t>
  </si>
  <si>
    <t>Martha Ávila De la Hoz</t>
  </si>
  <si>
    <t>Benjamín Herrera</t>
  </si>
  <si>
    <t>Avenida NQS con Calle 64</t>
  </si>
  <si>
    <t>Empoderar a los presidentes de las JAC de la AE Campin 7 de agosto con información técnica y de primera mano para que la puedan transmitir en sus respectivas comunidades.</t>
  </si>
  <si>
    <t>Avanzar en base de datos y mecanismos para convocatoria</t>
  </si>
  <si>
    <t>meet.google.com/sfb-wsqh-wnz</t>
  </si>
  <si>
    <t>Gestiones convocatoria, temas comunicaciones</t>
  </si>
  <si>
    <t>Segunda sesión de la Subcomisión Permanente del Sistema de Participación Territorial</t>
  </si>
  <si>
    <t>Aprobar el Plan Operativo Anual y el protocolo de reportes de la Subcomisión</t>
  </si>
  <si>
    <t>Sede Secretaría de Planeación - Carrera 30 No. 26</t>
  </si>
  <si>
    <t>Aprobación del Plan Operativo Anual - 2024 - Aprobación de esquema de reportes trimestrales</t>
  </si>
  <si>
    <t>Taller de Diálogo  Actuación Estratégica Montevideo</t>
  </si>
  <si>
    <t>Socializar  y construir las directrices para la formulación de la Actuación Estratégica Montevideo</t>
  </si>
  <si>
    <t>Juan Carlos Bocanegra</t>
  </si>
  <si>
    <t>correspondencia@participacionbogota.gov.co</t>
  </si>
  <si>
    <t>Montevideo - UPL Puente Aranda</t>
  </si>
  <si>
    <t>Avenida Calle 22 # 68C - 51</t>
  </si>
  <si>
    <t>El alcance de AE Montevideo, Territorios y Actores que involucrados en AE, Aspectos Técnicos de AE Montevideo: A. Movilidad, B. Reverdecimiento, C. Reactivación y D. Ciudad Inteligente.</t>
  </si>
  <si>
    <t>Recorrido AE estratégica Campin 7 de agosto sector Campin</t>
  </si>
  <si>
    <t>Informar a la comunidad las directrices de la AE campin 7 de agosto sector 7 de agosto</t>
  </si>
  <si>
    <t>Carrera 24 calle 62</t>
  </si>
  <si>
    <t>Empoderar a los presidentes de las JAC de la AE Campin 7 de agosto con información técnica y de primera mano para que la puedan transmitir en sus respectivas comunidades.</t>
  </si>
  <si>
    <t>El real</t>
  </si>
  <si>
    <t>Reconocimiento geográfico por el territorio, aspectos relevantes como la comprensión y aprensión geográfica de la estructura local, dinámicas poblacionales, sociales, económicas y productivas de la localidad</t>
  </si>
  <si>
    <t xml:space="preserve">Norma Urbana Nuevo POT - JAL San Cristóbal </t>
  </si>
  <si>
    <t>Acompañamiento a la Subdirección de Planeamiento Local frente a la norma Urbana del Nuevo POT</t>
  </si>
  <si>
    <t>Carlos Iregui</t>
  </si>
  <si>
    <t>3133483438</t>
  </si>
  <si>
    <t>Cirefui@sdp.gov.co</t>
  </si>
  <si>
    <t xml:space="preserve">Alcaldía de San Cristóbal </t>
  </si>
  <si>
    <t>Presentación a la JAL de San Cristóbal acerca de las intervenciones (conversatorios, recorridos) que se realizaron durante el año 2023.</t>
  </si>
  <si>
    <t>Acompañamiento Sesión JAL Tunjuelito PDD - inversión Plan de Desarrollo Local</t>
  </si>
  <si>
    <t>Acompañar a la SPL Suroriente en dar informe sobre cuál es la proyección de inversión respecto de la Localidad de Tunjuelito, en el marco del PDD 2024-2027, en lo referente al la estrategia de participación.</t>
  </si>
  <si>
    <t>Nancy Eliana Pedraza Roa</t>
  </si>
  <si>
    <t>jaltunjuelito@gmail.com</t>
  </si>
  <si>
    <t>Alcaldía Local de Tunjuelito - Diagonal 50 A 18-48 sur, piso 3.</t>
  </si>
  <si>
    <t>Informe sobre inversión de PDD en la localidad Tunjuelito; Estrategia de participación formulación PDD; Respuesta de entidades a Propuestas de la JAL Tunjuelito al PDD</t>
  </si>
  <si>
    <t>Gestión: Construcción agenda - Sector Suroriente</t>
  </si>
  <si>
    <t xml:space="preserve">Construcción de la implementación de la estrategia de participación del POT junto con la subdirección de planeamiento local sur oriente </t>
  </si>
  <si>
    <t>Jose Miguel Perez</t>
  </si>
  <si>
    <t>3105637717</t>
  </si>
  <si>
    <t>jperez@sdp.gov.co</t>
  </si>
  <si>
    <t>Secretaria de planeación piso 5</t>
  </si>
  <si>
    <t>Construcción de la estrategia de participación para POT</t>
  </si>
  <si>
    <t>Mesa de Actuación estratégica Chucua la vaca - concejal Fernando López</t>
  </si>
  <si>
    <t>Acompañar la mesa de la AE de Chucua la vaca solicitada por el concejal Fernando López.</t>
  </si>
  <si>
    <t>HC Fernando López</t>
  </si>
  <si>
    <t>Secretaría distrital de planeación, piso 13.</t>
  </si>
  <si>
    <t>De la AE, defición, etapas, espacios de participación ciudadana, mitos, verdades, beneficios y PRM.</t>
  </si>
  <si>
    <t>CLIP Chapinero</t>
  </si>
  <si>
    <t>Acompañar la articulación de los esfuerzos institucionales de participación en la localidad de Chapinero</t>
  </si>
  <si>
    <t>Alejandro Igua</t>
  </si>
  <si>
    <t>aigua@participacionbogota.onmicrosoft.com</t>
  </si>
  <si>
    <t>Carrera 13 #54-74 Alcaldía Local de Chapinero, Auditorio principal</t>
  </si>
  <si>
    <t xml:space="preserve">Resultados encuentros ciudadanos, Chikana, Estategia para la formulacion PDD y Análisis del espacio de respuestas al concepto emitido por el CTPD frente al plan distrital de desarrollo. </t>
  </si>
  <si>
    <t>Gestión: Construcción de agenda Sector Rural - SPRS y OPDC</t>
  </si>
  <si>
    <t xml:space="preserve">Definir en articulación con la SPRS la agenda de participación que se desarrollará en el Sector Rural en relación a las UPL y PIP </t>
  </si>
  <si>
    <t>Edward Buitrago</t>
  </si>
  <si>
    <t>301 5498010</t>
  </si>
  <si>
    <t>Ebuitragot@sdp.gov.co</t>
  </si>
  <si>
    <t xml:space="preserve">Secretaria Distrital de Planeación </t>
  </si>
  <si>
    <t xml:space="preserve">Ruta de Participación POT, Proyectos Integrales de proximidad  y agenda de ruralidad </t>
  </si>
  <si>
    <t>Análisis del ejercicio del PDD desde el concepto hasta hoy que fue aprobado.</t>
  </si>
  <si>
    <t>Enlace teams reunión</t>
  </si>
  <si>
    <t xml:space="preserve">Dar continuidad a la planaria ordinaria del CTPD con el tema de las recargas </t>
  </si>
  <si>
    <t>Martha Edith López Hernández</t>
  </si>
  <si>
    <t>Diagonal 50 A # 18 – 48 sur barrio San Carlos</t>
  </si>
  <si>
    <t>Presentación del decreto 606 Sistema Distrital de Planeación IDPAC; Exposición cierre de encuentros ciudadanos, Exposición Analísis resultados concepto CTPD al PDD (SDP)</t>
  </si>
  <si>
    <t>José Humberto Pedraza</t>
  </si>
  <si>
    <t>316 3896199</t>
  </si>
  <si>
    <t>Tv. 18 Bis No. 38-41.</t>
  </si>
  <si>
    <t>Reglamento interno, nuevos liderazgos y salario emocional, balance de los encuentros ciudadanos y la SDP expuso los resultados fase 2: aspiraciones comunes PDD.</t>
  </si>
  <si>
    <t>Avanzada Evento en el marco del PRIDE</t>
  </si>
  <si>
    <t xml:space="preserve">Realizar avanzada en el marco del cumplimiento al plan de acción de la PPLGBTI </t>
  </si>
  <si>
    <t>Dahiana Gonzalez</t>
  </si>
  <si>
    <t>Dgonzalez@sdp.gov.co</t>
  </si>
  <si>
    <t xml:space="preserve">Cra 7 # 11-10 </t>
  </si>
  <si>
    <t>Avanzada para apoyo a la Dirección de diversidad sexual, poblacional y genero en evento en el marco del pride LGBTIQ</t>
  </si>
  <si>
    <t xml:space="preserve">Capacitación AE y SPT - Veeduría Distrital </t>
  </si>
  <si>
    <t>Capacitar al equipo territorial de la Veeduría Distrital en las generalidades de las AE y el SPT</t>
  </si>
  <si>
    <t xml:space="preserve">Magda Ayala </t>
  </si>
  <si>
    <t>Casa de control social - Veeduría Distrital</t>
  </si>
  <si>
    <t>Generalidades del SPT y los Comités Ciudadanos en el marco de la formulación de la AE</t>
  </si>
  <si>
    <t>Acompañar la articulación de los esfuerzos institucionales de participación en la localidad de Ciudad Bolivar</t>
  </si>
  <si>
    <t>Jaime Eduardo Martinez Castro</t>
  </si>
  <si>
    <t>Enlace reunión 2024-06-12</t>
  </si>
  <si>
    <t>Estrategia de participación ciudadana con procesos formativos, fortalecimiento a las instancias de participación</t>
  </si>
  <si>
    <t>Mesa de trabajo -  Patio Bonito II</t>
  </si>
  <si>
    <t>Acompañar la Mesa de diálogo entre entidades frente a problemitas en el sector de Patio bonito II.</t>
  </si>
  <si>
    <t>Manuel Calderón Ramírez</t>
  </si>
  <si>
    <t>manuel.calderon@gobiernobogota.gov.co</t>
  </si>
  <si>
    <t>Patio Bonito II</t>
  </si>
  <si>
    <t>Carrera 87 #1-85 Salón Comunal Patio Bonito II</t>
  </si>
  <si>
    <t xml:space="preserve">Problematicas del sector: Inseguridad, invación del espacio público, microtráfico, eduación, falencia con redes de acueducto y programas sociales para infancia, adolescencia y adulto mayor. </t>
  </si>
  <si>
    <t>Socialización Sistema de Participación Territorial - Comité Ciudadano UPL 32 - Teusaquillo</t>
  </si>
  <si>
    <t>Realizar la presentación del SPT al Comité Ciudadano de la UPL # 32.</t>
  </si>
  <si>
    <t xml:space="preserve">https://meet.google.com/eys-qocf-ojw?hs=224
</t>
  </si>
  <si>
    <t>Sistema de participación territorial al comite pot upl # 32.</t>
  </si>
  <si>
    <t>Acompañar la articulación de los esfuerzos institucionales de participación en la localidad de Barrios Unidos.</t>
  </si>
  <si>
    <t>Martha Consuelo Cubillos Martinez</t>
  </si>
  <si>
    <t>mccubillos@sdis.gov.co</t>
  </si>
  <si>
    <t>San Fernando</t>
  </si>
  <si>
    <t>Carrera 57 #67 d 31 Piso 5o.</t>
  </si>
  <si>
    <t>Oferta territorial del IDPAC, revisión de agenda interistitucional, resultados de fase dos:aspiraciones comunes PDD y RenoBo presentó AE.</t>
  </si>
  <si>
    <t>Casa de la participación (Carrera 80 I No. 61 - 05 Sur)</t>
  </si>
  <si>
    <t>Presentación participación PDD. Presentación PP MYEG. Habitabilidad en Calle y mecanismos del SDIS</t>
  </si>
  <si>
    <t>Gestión: II Reunión: construcción de agenda - Sector Sur occidente</t>
  </si>
  <si>
    <t>Construir plan de trabajo de acciones afirmativas - sector Sur occidente.</t>
  </si>
  <si>
    <t>TRD, Georreferenciación, Actuaciones estratégicas y PIPs - reservas</t>
  </si>
  <si>
    <t>Reunión articulación Mesa LGBTI</t>
  </si>
  <si>
    <t>Realizar articulación para marcha LGBTI en cumplimiento al plan de accion de la política publica LGBTI</t>
  </si>
  <si>
    <t>Ruben Gomez</t>
  </si>
  <si>
    <t>gomezcomplices@hotmail.com</t>
  </si>
  <si>
    <t>Carrera 30 No. 25 - 90 CAD</t>
  </si>
  <si>
    <t>Articulacion con mesa lgbti de bogota para apoyo en el pride dando respuesta al plan de accion de la politica publica lgbti desde la OPDC</t>
  </si>
  <si>
    <t>Continuar con la plenaria ordinaria del 30 de mayo</t>
  </si>
  <si>
    <t>3188799909</t>
  </si>
  <si>
    <t>Super CADE PISO 2</t>
  </si>
  <si>
    <t>Planes de acción del CTPD</t>
  </si>
  <si>
    <t>Enlace de reunión</t>
  </si>
  <si>
    <t>Georreferenciación y PIPs - reservas</t>
  </si>
  <si>
    <t>I Taller de Diálogo Ciudadano - AE Campín 7 de agosto</t>
  </si>
  <si>
    <t>Benjamin Herrera</t>
  </si>
  <si>
    <t>Salón comunal JAC Benjamín Herrera - Calle 63B # 27B-14</t>
  </si>
  <si>
    <t>Diálogo Taller AE Campin 7 de Agosto- No se desarrolló de acuerdo a la metodología inicial planteada pero se pudo recoger algunos aportes ciudadanos con metodología en calle</t>
  </si>
  <si>
    <t>II Taller de Diálogo Ciudadano - AE Campín 7 de agosto</t>
  </si>
  <si>
    <t>San Luis</t>
  </si>
  <si>
    <t>Universidad TEINCO - Calle 63 no. 22- 39</t>
  </si>
  <si>
    <t>Presentación de la AE campin 7 de agosto, 4 pilares: reverdecer y cuidado. movilidad y reactivación.</t>
  </si>
  <si>
    <t>III Taller de Diálogo Ciudadano - AE Campín 7 de agosto</t>
  </si>
  <si>
    <t>El Rosario</t>
  </si>
  <si>
    <t>Salón comunal El Rosario - Calle 63B# 35 - 26</t>
  </si>
  <si>
    <t>Actuacion estrategica Campin 7 de agosto y dificultades y oportunidades en el territorio.</t>
  </si>
  <si>
    <t>Gestión: II mesa intersectorial SPT - Escenario especializado SSSM</t>
  </si>
  <si>
    <t>Realizar mesa intersectorial con el objetivo de evidenciar los procesos que han llevado a cabo los cabildos Muisca de suba y Bosa con las diferentes secretarias</t>
  </si>
  <si>
    <t>David Henao Neuta</t>
  </si>
  <si>
    <t>djneuta@gmail.com</t>
  </si>
  <si>
    <t xml:space="preserve">Pueblo muisca de bogota </t>
  </si>
  <si>
    <t xml:space="preserve">Av carrera 30 # 25-90 </t>
  </si>
  <si>
    <t>Sistema de Participación Territorial; Sistema de Sitios Sagrados Muisca; Resolución 2664</t>
  </si>
  <si>
    <t>La Noche y Las Luciérnagas</t>
  </si>
  <si>
    <t>OPDC: Apoyar y acompañar este espacio en cumplimiento a meta del plan de accion DSPG: Coordinar este espacio en el marco de la agenda del PIPC</t>
  </si>
  <si>
    <t>Jorge Peñuela</t>
  </si>
  <si>
    <t>jpenuela@udistrital.edu.co</t>
  </si>
  <si>
    <t>Centro Cultural La Media Torta | Calle 18 No. 1-05</t>
  </si>
  <si>
    <t>Se apoyó evento dando cumplimiento de una de las metas del plan de acción de la política pública LGBTIQ</t>
  </si>
  <si>
    <t>Comité Intersectorial Ampliado del PDD - Fase 4</t>
  </si>
  <si>
    <t xml:space="preserve">Presentar los lineamientos de la fase 4 de la Estrategia de Participación del Plan Distrital de Desarrollo. </t>
  </si>
  <si>
    <t>Enlace de Reunión</t>
  </si>
  <si>
    <t>Temas de la Fase 4 Plan Distrital de Desarrollo</t>
  </si>
  <si>
    <t>Socialización AEDA</t>
  </si>
  <si>
    <t>Acompañar la socialización del estado de avance de la formulación/adopción de la AEDA</t>
  </si>
  <si>
    <t>Jose Perdomo</t>
  </si>
  <si>
    <t>Villa Gladys</t>
  </si>
  <si>
    <t>Calle 64 # 112b-47- Conjunto Bonaire</t>
  </si>
  <si>
    <t>Socialización de las generalidades de la adopción de la AEDA</t>
  </si>
  <si>
    <t>Gestión: Reunión seguimiento DPL - OPDC</t>
  </si>
  <si>
    <t>Realizar retroalimentación del avance de construcción de agendas por sector, aclarar tema de modificación de decretos y proponer ruta de trabajo.</t>
  </si>
  <si>
    <t>Carrera 30 # 25 - 90, edificio CAD piso 8</t>
  </si>
  <si>
    <t>Plan de contingencia para la definición de las agendas sectores MOT</t>
  </si>
  <si>
    <t>Gestión con actores estratégicos - Localidad Candelaria</t>
  </si>
  <si>
    <t>Gestión en Territorio</t>
  </si>
  <si>
    <t>Fortalecer las relaciones con los actores estratégicos del territorio para articular los procesos de participación.</t>
  </si>
  <si>
    <t>Candelaria</t>
  </si>
  <si>
    <t>Cl. 9 #3-57- Casa del Zipa (Candelaria)</t>
  </si>
  <si>
    <t>Proceso de Devolución del PDD, necesidades de capacitación del CPL, generalidades de las actividades que se realizarían en el Sector Centro Ampliado el 6 de Julio</t>
  </si>
  <si>
    <t>Comisión Ordinaria del CTPD</t>
  </si>
  <si>
    <t>Revisión del Plan de Accion presentado por la UNAD</t>
  </si>
  <si>
    <t>Gestión: Reunión preparatoria equipo Sector Sur occidente</t>
  </si>
  <si>
    <t xml:space="preserve">Realizar preparatoria para visitas en territorio de equipo suroccidente </t>
  </si>
  <si>
    <t xml:space="preserve">Tintal </t>
  </si>
  <si>
    <t xml:space="preserve">Cronograma para realizar visitar en territorio del sector sur occidente </t>
  </si>
  <si>
    <t>Comite Meta Asambleas deliberativas</t>
  </si>
  <si>
    <t>Presentar propuesta Meta asambleas deliberativas</t>
  </si>
  <si>
    <t>Presentación propuesta meta asambleas deliberativas</t>
  </si>
  <si>
    <t>Acompañar la articulación de los esfuerzos institucionales de participación en la localidad de Puente Aranda</t>
  </si>
  <si>
    <t>Analisis de los encuentros ciudadanos para el PDL, resultados de la Fase 2 para la formulación del PDD en la Locidad de Puente Aranda.</t>
  </si>
  <si>
    <t>Gestión: Construcción de Agenda Sector Occidente</t>
  </si>
  <si>
    <t xml:space="preserve">Realizar la Construcción de la agenda del sector Suroccidente de la mano con la subdirección </t>
  </si>
  <si>
    <t>3113406771</t>
  </si>
  <si>
    <t>Carrera 30 # 25-90, piso 5</t>
  </si>
  <si>
    <t>Espacios de devolución para AE Montevideo y PDD sector occidente</t>
  </si>
  <si>
    <t>Reunión virtual Preparatoria Ágora RMBC</t>
  </si>
  <si>
    <t>Preparatoria presentación propuesta ágora metropolitana</t>
  </si>
  <si>
    <t>Propuesta Reglamentación Agora Metropolitana</t>
  </si>
  <si>
    <t>Gestión con actores estratégicos - UPL Puente Aranda (JAL)</t>
  </si>
  <si>
    <t>Fortalecer las relaciones con los actores estratégicos del territorio para articular los procesos de participación. JAL</t>
  </si>
  <si>
    <t>Alcaldía Puente Aranda</t>
  </si>
  <si>
    <t>Fase de en la Formulación del PDD 2024-2028, afianzar relaciones con la OPDC para futuros espacios de participación en el marco de PIPC 2024</t>
  </si>
  <si>
    <t>Gestión de Actores Estratégicos - Localidad Antonio Nariño</t>
  </si>
  <si>
    <t>Fortalecer las relaciones con los actores estrategicos del territorio para articular los procesos de participación.</t>
  </si>
  <si>
    <t>Centro Cultural Gabriel García Marquez</t>
  </si>
  <si>
    <t>Articulación con el CPL para los procesos de devolución sobre temas de PDD y fortalecimiento de los procesos de participación. Por parte de la persona del CPL se me solicitó asistir de manera virtual a la sesión ordinaria para explicar los temas tratados con ella.</t>
  </si>
  <si>
    <t>Taller de formación AE Calle 72</t>
  </si>
  <si>
    <t>Acompañar el Taller de Formación con las integrantes del Comité Operativo Local de Mujer y Género - COLMYG de la Localidad Barrios Unidos</t>
  </si>
  <si>
    <t>Jhon Jairo Garcia Pulido</t>
  </si>
  <si>
    <t>3194686812</t>
  </si>
  <si>
    <t>Alcazares Norte</t>
  </si>
  <si>
    <t>Carrera 27C NO. 72-86 Barrio Los Alcázares Norte</t>
  </si>
  <si>
    <t>Taller de Formación con las integrantes del Comité Operativo Local de Mujer y Género - COLMYG de la Localidad Barrios Unidos</t>
  </si>
  <si>
    <t>Avance OPDC</t>
  </si>
  <si>
    <t>Presenta avances proyecto asamblea deliberativas</t>
  </si>
  <si>
    <t>Avance meta asambleas deliberativas</t>
  </si>
  <si>
    <t>Gestión: Construcción de agenda UPL - Sector Ruralidad</t>
  </si>
  <si>
    <t xml:space="preserve">Edward Buitrago </t>
  </si>
  <si>
    <t>ebuitragot@sdp.gov.co</t>
  </si>
  <si>
    <t xml:space="preserve">SuperCade Cra 30 </t>
  </si>
  <si>
    <t xml:space="preserve">Agenda de participación asociados al Modelo de Gobernanza y PIP del sector rural. 3 rutas: Devolución PDD, articulación JAL, CPL entre otros, y acercamiento a gremios, privados y organizaciones.  </t>
  </si>
  <si>
    <t>Sesión Ordinaria del CTPD</t>
  </si>
  <si>
    <t xml:space="preserve">Jacqueline Hérnandez </t>
  </si>
  <si>
    <t>3013090210</t>
  </si>
  <si>
    <t>Plan de Acción 2024, se solicitó hacer una veeduría a la Bl y cómo va a ser el acompañamiento al CTPD, Si se requiere incluir un nuevo actor al CTPD, se debe aprobar por Mesa Directiva y en plenaria, se requiere con urgencia capacitación en microsoft Teams, la UNAD debe enviar a los correos del CTPD la presentación que realizo durante la sesión, Se solicita realizar una mesa de trabajo con el Secretario de Seguridad Cesar Restrepo.</t>
  </si>
  <si>
    <t>Reunión intersectorial convocada por la Secretaría General y la Secretaria de Gobierno</t>
  </si>
  <si>
    <t>8:00 a.m.</t>
  </si>
  <si>
    <t xml:space="preserve">Socializar orientaciones de Políticas Públicas étnicas </t>
  </si>
  <si>
    <t>Secretaria de Ambiente</t>
  </si>
  <si>
    <t>Socialización de Orientaciones para el reporte de Acciones Afirmativas y tránsito a Políticas Públicas Étnicas</t>
  </si>
  <si>
    <t>Gestión: Construcción agenda sector Suroriente</t>
  </si>
  <si>
    <t xml:space="preserve">Realizar la Construcción de la agenda del sector Suroriental de la mano con la subdirección </t>
  </si>
  <si>
    <t>José Miguel Pérez</t>
  </si>
  <si>
    <t>SuperCade Cra 30 (5 piso)</t>
  </si>
  <si>
    <t xml:space="preserve">Diseñar la estrategia de participación en la zona sur oriental para socializar los avances del POT </t>
  </si>
  <si>
    <t>Acompañar la articulación de los esfuerzos institucionales de participación en la localidad de Usme Entrenubes.</t>
  </si>
  <si>
    <t>Jose Oswaldo Cárdenas Ávila</t>
  </si>
  <si>
    <t>3202966775</t>
  </si>
  <si>
    <t>jocardenas@participacionbogota.gov.co</t>
  </si>
  <si>
    <t>Auditorio Casa de Justicia USME. Calle 137 Sur #21.</t>
  </si>
  <si>
    <t>Exposición del SPT, posible conformación de un comité ciudadano para llevar el SPT y actualización por parte de diferentes sectores.</t>
  </si>
  <si>
    <t>Gestión con actores estratégicos - Localidad Santa Fé</t>
  </si>
  <si>
    <t>Enrique Rodriguez</t>
  </si>
  <si>
    <t>3153868744</t>
  </si>
  <si>
    <t>Alcaldia Local de Santa Fé</t>
  </si>
  <si>
    <t>Ruta de la participación y PDD</t>
  </si>
  <si>
    <t>Cristian David Rincon</t>
  </si>
  <si>
    <t>3228582649</t>
  </si>
  <si>
    <t>Alcaldía local de Kennedy (Transversal 78k 41ª)</t>
  </si>
  <si>
    <t>Cierre de Encuentros Ciudadanos y siguiente fase EC  (ALK)</t>
  </si>
  <si>
    <t>Invitación a una mesa de trabajo entre instituciones del distrito y ciudadanía BIC Grupo Urbano SIU Niza Sur.</t>
  </si>
  <si>
    <t>Acompañar la mesa de trabajo entre instituciones del distrito y ciudadanía BIC Grupo Urbano SIU Niza Sur.</t>
  </si>
  <si>
    <t>Martha Liliana Velásquez Rodríguez</t>
  </si>
  <si>
    <t>3162240596</t>
  </si>
  <si>
    <t>mvelasquezr@sdp.gov.co</t>
  </si>
  <si>
    <t>Instalaciones del IDPC Sede Palomar del Príncipe - Calle 12B No. 2-96</t>
  </si>
  <si>
    <t>Invasión del espacio público, usos comerciales no permitidos, control urbano, afectaciones ambientales en el humedal Córdoba y auditivas por el paso de aviones.</t>
  </si>
  <si>
    <t>Gestión: III Reunión: construcción de agenda - Sector Sur Occidente</t>
  </si>
  <si>
    <t>Construir agenda de participación - sector Suroccidente.</t>
  </si>
  <si>
    <t>3192173863</t>
  </si>
  <si>
    <t>Lineas de trabajo, instancias de participación, socialización PDD, metodología y trabajo con actores.</t>
  </si>
  <si>
    <t xml:space="preserve">Gestión: Construcción agenda sector Norte y Noroccidente </t>
  </si>
  <si>
    <t xml:space="preserve">Realizar la Construcción de la agenda del sector Norte y Noroccidente  de la mano con la subdirección </t>
  </si>
  <si>
    <t xml:space="preserve">Camilo Barbosa Medina </t>
  </si>
  <si>
    <t>3123603949</t>
  </si>
  <si>
    <t>Cbarbosa@sdp.gov.co</t>
  </si>
  <si>
    <t>Secretaría Distrital de Planeación, Ave Cra 30 #25-90, piso 5</t>
  </si>
  <si>
    <t>Agenda sectores Norte y Noroccidente, PDD, POT, PIP, SPT, Ruralidad, Reserva ALO.</t>
  </si>
  <si>
    <t>Gestión con actores estratégicos - Localidad Antonio Nariño</t>
  </si>
  <si>
    <t>Complemento sobre el fortalecimiento de las relaciones con el CPL para los procesos de participación</t>
  </si>
  <si>
    <t>Sesión Ordinaria Comisión POT CTPD</t>
  </si>
  <si>
    <t>Realizar el acompañamiento como secretaria técnica a la Comisión de POT del CTPD, para realizar la aprobación del Plan de Acción de la Comisión.</t>
  </si>
  <si>
    <t>3244150125</t>
  </si>
  <si>
    <t xml:space="preserve">- Respuesta a la consejera Derly Rodríguez sobre la solicitud de anulación de su pertenencia a la Comisión POT.  - Elección nueva Coordinadora, Consejera Angela Patricia Manrique.  - Elección nueva relatora, consejera Nohora Fonseca. </t>
  </si>
  <si>
    <t>Gestión: Estrategia de Participación SGR - Segundo semestre 2024</t>
  </si>
  <si>
    <t>Conocer el cronograma del segundo semestre 2024 de la Estrategia de Participación del Sistema General de Regalías</t>
  </si>
  <si>
    <t>3172143454</t>
  </si>
  <si>
    <t>Cronograma segundo semestre 2024, estratégia de participación Sistema General de Regalias</t>
  </si>
  <si>
    <t>Gestión: Construcción Agenda Sector Centro Ampliado</t>
  </si>
  <si>
    <t xml:space="preserve">Realizar la Construcción preliminar de la agenda del sector Centro Ampliado  de la mano con la subdirección </t>
  </si>
  <si>
    <t>3228657280</t>
  </si>
  <si>
    <t xml:space="preserve">Construcción de agenda preliminar del sector Centro Ampliado </t>
  </si>
  <si>
    <t xml:space="preserve">Gestión: Capacitación del Sistema de Participación Territorial a la Subdirección de Planeamiento Rural Sostenible </t>
  </si>
  <si>
    <t xml:space="preserve">Capacitar a la SPRS en la implementación del SPT, haciendo énfasis en los comités ciudadanos que plantea </t>
  </si>
  <si>
    <t>3015498010</t>
  </si>
  <si>
    <t xml:space="preserve">SuperCADE cra 30 </t>
  </si>
  <si>
    <t xml:space="preserve">Sistema de Participación Territorial </t>
  </si>
  <si>
    <t>Gestión: Devolución Región Metropolitana PDD</t>
  </si>
  <si>
    <t xml:space="preserve">Definir la metodología de devolución del PDD en la región metropolitana </t>
  </si>
  <si>
    <t>Sandra Montealegre</t>
  </si>
  <si>
    <t>3176652026‬</t>
  </si>
  <si>
    <t>Metropolitano</t>
  </si>
  <si>
    <t>Enla de reunión</t>
  </si>
  <si>
    <t>Metodología de devolución del PDD en la región metrópolitana</t>
  </si>
  <si>
    <t>Gestión con actores estratégicos - Localidad Usaquen</t>
  </si>
  <si>
    <t xml:space="preserve">Hector Cortes </t>
  </si>
  <si>
    <t>3004613322</t>
  </si>
  <si>
    <t>corteshector@hotmail.com</t>
  </si>
  <si>
    <t>San Cristobal Norte</t>
  </si>
  <si>
    <t>Clle 162 # 7g - 37</t>
  </si>
  <si>
    <t xml:space="preserve">Acuerdo 927 de 2024, Devolución PDD, incidencia de participación en Chatico de la localidad con propuestas. </t>
  </si>
  <si>
    <t xml:space="preserve">Gestión: Reunión Concejal Bastidas, Cabildo Muisca de Suba e IDPC sobre SSSM </t>
  </si>
  <si>
    <t>Acompañar al IDPC a la reunión con el Concejal Oscar Bastidas en referencia al Sistema de Sitios Sagrados Muisca</t>
  </si>
  <si>
    <t>Oscar Bastidas</t>
  </si>
  <si>
    <t>3103042415</t>
  </si>
  <si>
    <t>ofbastidas@concejobogota.gov.co</t>
  </si>
  <si>
    <t>Calle 12b#2-58</t>
  </si>
  <si>
    <t>Sistema de sitios sagrados; resolución 2664; Cabildos Muisca de Bogota; Sistema de Participación Territorial</t>
  </si>
  <si>
    <t>Exposición de radicación - Formulación AE ZIBO</t>
  </si>
  <si>
    <t>Acompañar la exposición formal de la radicación de la formulación de la AE ZIBO por parte del Operador Urbano.</t>
  </si>
  <si>
    <t>mavila@sdp.gov.co</t>
  </si>
  <si>
    <t>Auditorio SuperCADE</t>
  </si>
  <si>
    <t xml:space="preserve">Generalidades del resultado de la formulación de la AE ZIBO </t>
  </si>
  <si>
    <t xml:space="preserve">Subcomité asambleas - Convocatoria </t>
  </si>
  <si>
    <t>Definir lineamientos de convocatoria y comunicaciones para línea gráfica</t>
  </si>
  <si>
    <t>Carrera 30 # 25 - 90</t>
  </si>
  <si>
    <t>Estrategia asambleas ciudadanas</t>
  </si>
  <si>
    <t>Gestión con actores estratégicos - sector Noroccidente (CPL y ASOJUNTAS)</t>
  </si>
  <si>
    <t>Fortalecer las relaciones con los actores estrategicos del territorio para articular los procesos de participación. CPL y ASOJUNTAS</t>
  </si>
  <si>
    <t xml:space="preserve">Alcaldía de Suba </t>
  </si>
  <si>
    <t>Devolución de PDD en el territorio Noroccidente, otros temas como POT, PIP, UPZ, UPLS</t>
  </si>
  <si>
    <t>Acción afirmativa: Transversalización enfoque étnico Gitano-Rrom</t>
  </si>
  <si>
    <t xml:space="preserve">Socializar al equipo de la SDP alrededor de la transversalización del enfoque étnico diferencial Gitano-Rrom en los distintos procesos e instrumentos de planeación, en el marco del cumplimiento del articulo 66 del PDD 2020-2024 con el Pueblo Rrom. </t>
  </si>
  <si>
    <t>Super CADE CAD, Av Cra 30 #25 - 90 Torre B</t>
  </si>
  <si>
    <t>Transversalización del enfoque étnico gitano para el equipo de la OPDC de la SDP</t>
  </si>
  <si>
    <t>Gestión con actores estratégicos - Sesión JAL Sumapaz</t>
  </si>
  <si>
    <t xml:space="preserve">Yenny Pulido </t>
  </si>
  <si>
    <t>jalsumapaz.20@gmail.com</t>
  </si>
  <si>
    <t>Sesión Extraordinaria Comisión Desarrollo Regional CTPD</t>
  </si>
  <si>
    <t>3157917070</t>
  </si>
  <si>
    <t>Aprobación Plan de Acción Comisión de Desarrollo Regional</t>
  </si>
  <si>
    <t xml:space="preserve">Sesión JAL Tunjuelito </t>
  </si>
  <si>
    <t>Atender la solicitud de acompañamiento de la JAL.</t>
  </si>
  <si>
    <t>Hernán Reyes Gómez</t>
  </si>
  <si>
    <t>314 3229224</t>
  </si>
  <si>
    <t>jaltunjuelito@gmail.com,</t>
  </si>
  <si>
    <t>Proceso de construcción del Plan Local de Desarrollo; Encuentros ciudadanos; Líneas de inversión y conceptos de gasto</t>
  </si>
  <si>
    <t>Gestión con Actores Estratégicos – Localidad Suba JAC UPL Britalia</t>
  </si>
  <si>
    <t xml:space="preserve">Fortalecer las relaciones con los actores estrategicos del territorio para articular los procesos de participación. JAC </t>
  </si>
  <si>
    <t>Roberto Rincón</t>
  </si>
  <si>
    <t>3112117423</t>
  </si>
  <si>
    <t>jacurbanizacionsantahelena@gmail.com</t>
  </si>
  <si>
    <t>Santa Helena</t>
  </si>
  <si>
    <t>Salón Comunal JAC Santa Helena Calle 146a # 49 - 04</t>
  </si>
  <si>
    <t xml:space="preserve">Explicación de cómo leer el Plan Distrital de Desarrollo </t>
  </si>
  <si>
    <t>Devolución Plan Distrital de Desarrollo - Comunidad Palenquera</t>
  </si>
  <si>
    <t>Presentar los resultados del proceso de participación de la comunidad palenquera con respecto al Acuerdo 927 del 2024 el cual adopto el Plan Distrital de Desarrollo "Bogotá Camina Segura", esto en el marco de la fase IV de la Planeación Participativa del PDD "Reconocimiento a la Acción Colectiva"</t>
  </si>
  <si>
    <t>Posá Wiwa - Carrera 3 #10-72</t>
  </si>
  <si>
    <t>Fase IV: Reconocimiento a la Acción Colectiva</t>
  </si>
  <si>
    <t xml:space="preserve">Socialización de los resultados del proceso de participación de la comunidad palenquera en la formulación del PDD 2024-2027 en el marco de la planeación participativa del PDD. </t>
  </si>
  <si>
    <t xml:space="preserve">Gestión con Actores Estratégicos – Localidad Usaquén CLSYS UPL Usaquén </t>
  </si>
  <si>
    <t xml:space="preserve">Fortalecer las relaciones con los actores estrategicos del territorio para articular los procesos de participación.CLSYS UPL Usaquén </t>
  </si>
  <si>
    <t xml:space="preserve">Ernesto Gómez </t>
  </si>
  <si>
    <t>3133000190</t>
  </si>
  <si>
    <t xml:space="preserve">Sin Información </t>
  </si>
  <si>
    <t>CDC Servita - Simón Bolívar (CALLE 165 # 7-52)</t>
  </si>
  <si>
    <t>Explicación del PDD, de los documentos que lo componen y su manera para entenderlos (Acuerdo 927 de 2024, ABC PDD, Metas de producto)</t>
  </si>
  <si>
    <t>Gestión con actores estratégicos - UPL Tintal (JAC y Lideres ambientales)</t>
  </si>
  <si>
    <t>Fortalecer las relaciones con los actores estrategicos del territorio para articular los procesos de participación.  JAC y líder ambiental</t>
  </si>
  <si>
    <t>Biblioteca Tintal</t>
  </si>
  <si>
    <t>Acercamiento con lideres de la JAC Patio bonito 2, Organizaciones de PH de la UPL Tintal, JAC Aloha y Lider ambiental. para invitarles a la devolucion ciudadana del sector suroccidente</t>
  </si>
  <si>
    <t xml:space="preserve">Gestión: citación referentes étnicos - Concejal Oscar Bastidas </t>
  </si>
  <si>
    <t>Atender una citación del Concejal Oscar Bastidas con la finalidad de socializar los artículos y metas étnicas incluidas en el Acuerdo Distrital No. 927 de 2024, por medio del cual se adopta el “Plan Distrital de Desarrollo 2024-2027 “Bogotá Camina Segura”, a fin de establecer una ruta de implementación y seguimiento.</t>
  </si>
  <si>
    <t>(601)2088210</t>
  </si>
  <si>
    <t>Casa Gitana (Carrera 65 a No. 5a -35)</t>
  </si>
  <si>
    <t>Socialización de los artículos y metas con referencias étnicas en el Acuerdo 927 de 2024 mediante el cual se adoptó el PDD "Bogotá Camina Segura"</t>
  </si>
  <si>
    <t>Gestión con Actores Estratégicos – Localidad Usaquen (JAC TOBERÍN)</t>
  </si>
  <si>
    <t>Fortalecer las relaciones con los actores estratégicos del territorio para articular los procesos de participación. JAC Toberin</t>
  </si>
  <si>
    <t xml:space="preserve">Henry Giovanny Rodriguez  Sanchez </t>
  </si>
  <si>
    <t>3503996986</t>
  </si>
  <si>
    <t>El Toberin</t>
  </si>
  <si>
    <t>kr 20 # 165 - 8</t>
  </si>
  <si>
    <t>Gestión con actores estratégicos - Localidad Kennedy (JAC y fundación Unilideres)</t>
  </si>
  <si>
    <t>Fortalecer las relaciones con los actores estrategicos del territorio para articular los procesos de participación. JAC y fundación Unilideres</t>
  </si>
  <si>
    <t>Carrera 87i #5a - 14 sur Fundación unilideres</t>
  </si>
  <si>
    <t xml:space="preserve">Plan distrital de desarrollo, invitación a devolución sector suroccidente </t>
  </si>
  <si>
    <t>Taller IDPAC</t>
  </si>
  <si>
    <t>.7 00 am</t>
  </si>
  <si>
    <t xml:space="preserve">Taller con los sectores para definir la estrategia de los recursos de las metas de los planes de desarrollo local </t>
  </si>
  <si>
    <t xml:space="preserve">Luisa González </t>
  </si>
  <si>
    <t>3160503967</t>
  </si>
  <si>
    <t>Luisa.gonzalez@participacionbogota.gov.co</t>
  </si>
  <si>
    <t xml:space="preserve">Modelia </t>
  </si>
  <si>
    <t>Planta IDPAC</t>
  </si>
  <si>
    <t xml:space="preserve">Taller de exploración metodologia definición de presupuestos locales planes de desarrollo </t>
  </si>
  <si>
    <t>Comision POT CTPD</t>
  </si>
  <si>
    <t>Revisar y Aprobar el Plan de Acción</t>
  </si>
  <si>
    <t>Angela Manrique</t>
  </si>
  <si>
    <t>3022462008</t>
  </si>
  <si>
    <t>kharminoong@gmail.com</t>
  </si>
  <si>
    <t>Formulación y Aprobación del Plan de Acción de la Comisión POT del CTPD</t>
  </si>
  <si>
    <t>Gestión con actores estratégicos - Localidad Antonio Nariño JAC</t>
  </si>
  <si>
    <t>Fortalecer las relaciones con los actores estratégicos del territorio para articular los procesos de participación. JAC</t>
  </si>
  <si>
    <t>Caracas</t>
  </si>
  <si>
    <t>Av. Caracas #12-20sur</t>
  </si>
  <si>
    <t>Fortalecimiento de relaciones de participación con la JAC y socialización de actividades próximas de participación referentes al plan de desarrollo</t>
  </si>
  <si>
    <t>Gestión DDSGP - OPDC Discapacidad / LGTIBQ+ SPT y PDD</t>
  </si>
  <si>
    <t>Articular gestiones con la Dirección de Diversidad Sexual, Poblaciones y Géneros (DDSPG) para establecer acciones con la población de Discapacidad y LGTBIQ+ en relación a la devolución de los resultados de la participación ciudadana sobre los contenidos del Plan Distrital de Desarrollo adoptado y activación de Comités y escenarios especializados del Sistema de Participación Territorial</t>
  </si>
  <si>
    <t>3112391335</t>
  </si>
  <si>
    <t>diana.palma@hotmail.com</t>
  </si>
  <si>
    <t>SuperCADE CAD (Avenida Carrera 30 No. 25 - 90) Segundo Piso Sala B</t>
  </si>
  <si>
    <t>Devolución PDD para personas con discapacidad y LGTBIQ, Escenarios especializados en el marco de PDD y DP del Consejero Dick Díaz</t>
  </si>
  <si>
    <t>Mesa de Seguimiento Ágora Metropolitana RMBC</t>
  </si>
  <si>
    <t>Reglamentacion Ágora Metropolitana</t>
  </si>
  <si>
    <t>Felipe Oviedo</t>
  </si>
  <si>
    <t>3212130149</t>
  </si>
  <si>
    <t>foviedo@sdp.gov.co</t>
  </si>
  <si>
    <t>Edificio Elemento Av El Dorado #69-76 Torre 3 Tierra Piso 15 Oficina 1504</t>
  </si>
  <si>
    <t xml:space="preserve">Propuesta reglamentacion Agora metropolitana </t>
  </si>
  <si>
    <t>Gestión con actores estratégicos - Localidad Candelaria JAC</t>
  </si>
  <si>
    <t>La Concordia</t>
  </si>
  <si>
    <t>Casa comunitaria de la Concordia. Calle 12d#3-22</t>
  </si>
  <si>
    <t>CLIP Los Mártires</t>
  </si>
  <si>
    <t>Acompañar la sesión de la CLIP, para la articulación de los esfuerzos institucionales de participación en la localidad de los Mártires.</t>
  </si>
  <si>
    <t>Diana Alexandra Mutiz</t>
  </si>
  <si>
    <t>Cl. 22b #20-51, Subdirección Local para la Integración Social de Los Mártires</t>
  </si>
  <si>
    <t xml:space="preserve">Fase 1 Presupuestos Participativos - Cierre de Encuentros Ciudadanos - Mesas de Concertación Local,  presentación Política Pública </t>
  </si>
  <si>
    <t>Gestión actores estratégicos Noroccidente - Asojuntas Suba</t>
  </si>
  <si>
    <t>Fortalecer las relaciones con los actores estratégicos del territorio para articular los procesos de participación. Asojuntas</t>
  </si>
  <si>
    <t xml:space="preserve">Ricardo Diaz </t>
  </si>
  <si>
    <t>3114439168</t>
  </si>
  <si>
    <t>Alcaldía Local de Suba</t>
  </si>
  <si>
    <t xml:space="preserve">Plan Distrital de desarrollo, temas álgidos en la UPL Suba, Rincon de Suba y Tibabuyes, Alo, espacio publico, vias y equipamentos. </t>
  </si>
  <si>
    <t>Gestión con Actores Estratégicos – Localidad Usaquén CPL</t>
  </si>
  <si>
    <t>Fortalecer las relaciones con los actores estrategicos del territorio para articular los procesos de participación, CPL Usaquén</t>
  </si>
  <si>
    <t xml:space="preserve">Marylinyer Lozano </t>
  </si>
  <si>
    <t>3133779896</t>
  </si>
  <si>
    <t>cpl.usaquen2020@gmail.com</t>
  </si>
  <si>
    <t>Explicación de los documentos integrales que componen el PDD y descripción de cómo leerlo</t>
  </si>
  <si>
    <t>Comité técnico de seguimiento al convenio CTPD</t>
  </si>
  <si>
    <t>Efectuar el seguimiento al convenio 339 de 2024, conocer el estado financiero, administrativo y la contrapartida</t>
  </si>
  <si>
    <t xml:space="preserve">SUPER CAD PISO 8 </t>
  </si>
  <si>
    <t xml:space="preserve"> La UNAD da un resumen de los planes de acción acompañados de las comisiones, exponiendo que ellos van a apoyar con especie en un espacio respectivo, con refrigerios estación de café y lugar.                                                                                                                                                                                                                                                                                   La UNAD cometa que para el diplomado solo hay inscritos 59 consejeras y consejeros y la idea el comenzar el miércoles 3 de julio para lograr las 80 horas.                                                                                                La presidenta le solicita a la UNAD hacer una presentación del alcance que brinda la universidad al CTPD.                                                                                                                                Se va a someter a Mesa Directiva y luego a Plenaria; hacer un oficio a los respectivos sectores con un informe sobre la asistencia de las consejeras y consejeros a plenarias y comisiones.</t>
  </si>
  <si>
    <t xml:space="preserve">Gestión con actores estratégicos - CPL Sumapaz </t>
  </si>
  <si>
    <t>Fortalecer las relaciones con los actores estratégicos del territorio para articular los procesos de participación. CPL</t>
  </si>
  <si>
    <t xml:space="preserve">Paola Hernandez </t>
  </si>
  <si>
    <t>320 3810775</t>
  </si>
  <si>
    <t xml:space="preserve">Plan Distrital de Desarrollo con enfoque rural. </t>
  </si>
  <si>
    <t>Activación Actores de Participación en la localidad de Fontibon CPL</t>
  </si>
  <si>
    <t>Realizar activación y acercamiento a los diferentes actores de participación de la localidad de Fontibón, socializando la 4ta fase del PDD y próximas devoluciones a la ciudadania CPL</t>
  </si>
  <si>
    <t>Roció Martínez</t>
  </si>
  <si>
    <t>3164993606</t>
  </si>
  <si>
    <t>Fontibon Centro</t>
  </si>
  <si>
    <t>Cra. 99 #19-43, Bogotá, Alcaldía Local de Fontibón</t>
  </si>
  <si>
    <t>4ta fase PDD Y Acercamiento con actores de participación de la UPL</t>
  </si>
  <si>
    <t>Gestión con actores estratégicos - UPL Centro Histórico (JAC La Perseverancia)</t>
  </si>
  <si>
    <t xml:space="preserve">Fortalecer las relaciones con los actores estratégicos del territorio para articular los procesos de participación. JAC La Perseverancia. </t>
  </si>
  <si>
    <t>Pricila Millanos</t>
  </si>
  <si>
    <t>3057819274</t>
  </si>
  <si>
    <t xml:space="preserve">La Perseverancia </t>
  </si>
  <si>
    <t>JAC La Perseverancia ( Cra. 4Bis A # 32-64)</t>
  </si>
  <si>
    <t>Resultados de la Fase II para la localidad de Santa Fe. Se presento el ABC del PDD para su lectura y comprensión</t>
  </si>
  <si>
    <t>Gestión con actores estratégicos UPL Usme CPL</t>
  </si>
  <si>
    <t xml:space="preserve">Fortalecer las relaciones con los actores estratégicos del territorio para articular los procesos de participación.CPL </t>
  </si>
  <si>
    <t>Esperanza Ortiz</t>
  </si>
  <si>
    <t>3186236865</t>
  </si>
  <si>
    <t>Almirante Padilla</t>
  </si>
  <si>
    <t>Salón Comunal Almirante Padilla - Calle 77 Sur # 10-46.</t>
  </si>
  <si>
    <t>Preparación de la comunidad para la devolución del sector sur oriental, formación de comités ciudadanos y notificación de las asambleas deliberativas.</t>
  </si>
  <si>
    <t xml:space="preserve">CLIP extraordinaria Sumapaz </t>
  </si>
  <si>
    <t xml:space="preserve">Cristian David Rincon </t>
  </si>
  <si>
    <t>3144200711</t>
  </si>
  <si>
    <t xml:space="preserve">Reglamento interno de la CLIP Sumapaz. </t>
  </si>
  <si>
    <t>Sesión de la Comisión Intersectorial de Participación CIP</t>
  </si>
  <si>
    <t>Hacer seguimiento al Plan de Acción de la CIP</t>
  </si>
  <si>
    <t>Angelo Javier Santana</t>
  </si>
  <si>
    <t>agravier@participacionbogota.gov.co</t>
  </si>
  <si>
    <t>Secretaría de Gobierno</t>
  </si>
  <si>
    <t>Aprobación del Plan de Acción; Presupuestos Participativos</t>
  </si>
  <si>
    <t>Gestión con actores estratégicos - Localidad Puente Aranda (CPL)</t>
  </si>
  <si>
    <t>Fortalecer las relaciones con los actores estratégicos del territorio para articular los procesos de participación. CPL - UPL Puente Aranda.</t>
  </si>
  <si>
    <t>Doris Márquez Nova</t>
  </si>
  <si>
    <t>3192336023</t>
  </si>
  <si>
    <t>medioambiente.doris@gmail.com</t>
  </si>
  <si>
    <t>Alcaldía Local de Puente Aranda (Cl. 4 #31D-30)</t>
  </si>
  <si>
    <t>Resultados de la Fase II para la formulación del PDD en la localidad de Puente Aranda y se presento el ABC para la lectura y comprensión del PDD</t>
  </si>
  <si>
    <t>Gestión con actores estratégicos - sector Noroccidente (CPL)</t>
  </si>
  <si>
    <t xml:space="preserve">Lucia Salazar </t>
  </si>
  <si>
    <t>3044133110</t>
  </si>
  <si>
    <t xml:space="preserve">Gestion de actores territoriales del sector noroccidente y actividades proyectadas en territorio con comunidad </t>
  </si>
  <si>
    <t xml:space="preserve">Gestión con actores estratégicos - CLDDHH Sumapaz </t>
  </si>
  <si>
    <t>Fortalecer las relaciones con los actores estratégicos del territorio para articular los procesos de participación. CLDDHH Sumapaz</t>
  </si>
  <si>
    <t xml:space="preserve">Andres Pardos </t>
  </si>
  <si>
    <t>3112345097</t>
  </si>
  <si>
    <t xml:space="preserve">Sumapaceña </t>
  </si>
  <si>
    <t xml:space="preserve">Plan Distrital de Desarrollo con enfoque rural </t>
  </si>
  <si>
    <t xml:space="preserve"> Gestión con actores estratégicos - Localidad Bosa (JAC)</t>
  </si>
  <si>
    <t>Fortalecer las relaciones con los actores estratégicos del territorio para articular los procesos de participación JAC.</t>
  </si>
  <si>
    <t>Edward Rodrigues</t>
  </si>
  <si>
    <t>3183951488</t>
  </si>
  <si>
    <t>Bosa linda</t>
  </si>
  <si>
    <t>Cra. 92a # 56h 55</t>
  </si>
  <si>
    <t>Información específica del PDD e invitación oficial a la devolución formal del PDD a la ciudad.</t>
  </si>
  <si>
    <t xml:space="preserve">Gestión: Construcción Agenda - Sector Centro Ampliado </t>
  </si>
  <si>
    <t>Revisar y aclarar lo referente a la construcción de la agenda de los PIP sector Centro Ampliado</t>
  </si>
  <si>
    <t>https://meet.google.com/bpe-gpth-esu</t>
  </si>
  <si>
    <t>Parámetros para el agendamiento de actividades sobre los PIP Sector Centro Ampliado, solicitud de posible espacio para aclarar o actualizar información a Diversidad Sexual</t>
  </si>
  <si>
    <t xml:space="preserve"> Gestión con actores estratégicos - Localidad Porvenir (JAC)</t>
  </si>
  <si>
    <t>Julio Gonzales</t>
  </si>
  <si>
    <t>3165397912</t>
  </si>
  <si>
    <t>El triunfo</t>
  </si>
  <si>
    <t>Calle 80a sur # 87J  - 04</t>
  </si>
  <si>
    <t xml:space="preserve">Temas específicos del PDD aprobado 2024 e incitación a la entrega formal. </t>
  </si>
  <si>
    <t>Sesión Junta Directiva CTPD</t>
  </si>
  <si>
    <t xml:space="preserve">Acompañar como Secretaría Técnica la Sesión de la Junta Directiva del CTPD del mes de junio, donde se trataran los temas a exponer en la Sesión de la Mesa Directiva del CTPD. </t>
  </si>
  <si>
    <t>Liliana De Los Ángeles  Urrego Navarro</t>
  </si>
  <si>
    <t>3108148740</t>
  </si>
  <si>
    <t>Propuesta del llamado a lista hecho por la UNAD. - Orden del día para la Sesión de la Mesa Directiva.</t>
  </si>
  <si>
    <t>Activación Actores estratégicos: Consejo de Sabias y Sabios Tunjuelito</t>
  </si>
  <si>
    <t>Reactivar la comunicación con los grupos de valor locales para incentivar la participación en los instrumentos liderados por SDP</t>
  </si>
  <si>
    <t>Ana María Torres Gonzalez</t>
  </si>
  <si>
    <t>3148575205</t>
  </si>
  <si>
    <t>anamaria.torres@gobiernobogota.gov.co</t>
  </si>
  <si>
    <t>Casa de la cultura Tunjuelito - Diagonal 52f Sur #27-26</t>
  </si>
  <si>
    <t>Plan de Desarrollo Distrital; Acción de devolución PDD; POT; SPT</t>
  </si>
  <si>
    <t>Activación Actores estratégicos:Pedagógica del Plan Distrital de Desarrollo 2024-2028, con énfasis en el sector Salud.</t>
  </si>
  <si>
    <t>Acompañar al personal de Salud que se desempeña en la localidad de Barrios Unidos para que tengan mejor conocimiento y apropiación del Plan Distrital de Desarrollo.</t>
  </si>
  <si>
    <t>Gerardo Arturo Rincon Obando</t>
  </si>
  <si>
    <t>311 468 4708</t>
  </si>
  <si>
    <t>garincon@saludcapital.gov.co</t>
  </si>
  <si>
    <t>San Fernando Occidental</t>
  </si>
  <si>
    <t>Calle 74A # 63-04</t>
  </si>
  <si>
    <t>ABC del Plan de Desarrollo Distrital. Objetivos de Salud, Devolución del PDD y Mesa local por el Cuidado de la Salud.</t>
  </si>
  <si>
    <t>Gestión con Actores Estratégicos - Sector Occidente (CPL Engativá)</t>
  </si>
  <si>
    <t>Fortalecer las relaciones con los actores estratégicos del territorio para articular los procesos de participación. CPL Engativá</t>
  </si>
  <si>
    <t>Milena Pérez</t>
  </si>
  <si>
    <t>3172464477</t>
  </si>
  <si>
    <t>Alcaldía Local de Engativá</t>
  </si>
  <si>
    <t>Participación Plan Distrital de Desarrollo, socialización de construcción PDD, reunión con sectores CPL Engativá</t>
  </si>
  <si>
    <t>Comite meta asamblea</t>
  </si>
  <si>
    <t>Nueva propuesta para 60 cupos y revisión de presupuesto</t>
  </si>
  <si>
    <t xml:space="preserve">
https://teams.microsoft.com/l/meetup-</t>
  </si>
  <si>
    <t>Avances meta asambleas</t>
  </si>
  <si>
    <t>Gestión con actores estratégicos - Localidad Usaquen (JAC)</t>
  </si>
  <si>
    <t>Johan Alberto Bonilla Lesmes</t>
  </si>
  <si>
    <t>3125836658</t>
  </si>
  <si>
    <t xml:space="preserve">Sin información </t>
  </si>
  <si>
    <t>San Antonio Norte</t>
  </si>
  <si>
    <t xml:space="preserve">KR 8d # 181 -50 </t>
  </si>
  <si>
    <t xml:space="preserve">Plan Distrita de Desarrollo, acuerdo 927/2024, devolución PDD </t>
  </si>
  <si>
    <t xml:space="preserve">Gestión con actores estrategicos - JAC UPL Kennedy </t>
  </si>
  <si>
    <t>Fortalecer las relaciones con los actores estratégicos del territorio para articular los procesos de participación. JAC CARVAJAL OSORIO, JAC  FLORALIA, JAC VALENCIA BOMBAY.</t>
  </si>
  <si>
    <t>Edén, Patio Bonito, Bosa</t>
  </si>
  <si>
    <t>Cra 68 L # 37 d 38 sur 
Salón comunal Carvajal Osorio</t>
  </si>
  <si>
    <t>Invitación a devolución sector suroccidente a actores estratégicos del territorio para articular los procesos de participación como la JAC Carvajal osorio, Flolaria y Valencia bombay.</t>
  </si>
  <si>
    <t>Gestión con actores estratégicos - Sector Suroccidente UPL El Edén</t>
  </si>
  <si>
    <t>Holanda, El Carmelo, Casa blanca.</t>
  </si>
  <si>
    <t>Carrera 87J No. 56F - 08 Sur Bosa Holanda</t>
  </si>
  <si>
    <t>Actividades a desarrollar en el marco del PDD</t>
  </si>
  <si>
    <t>Gestión con Actores Estratégicos – Localidad Chapinero CPL</t>
  </si>
  <si>
    <t>Fortalecer las relaciones con los actores estrategicos del territorio para articular los procesos de participación, CPL Chapinero</t>
  </si>
  <si>
    <t>Danna Gomez</t>
  </si>
  <si>
    <t>3002367395</t>
  </si>
  <si>
    <t>dannaguzman031@gmail.com</t>
  </si>
  <si>
    <t>carrera 17 #52-58 pecas y fresas</t>
  </si>
  <si>
    <t>Plan de desarrollo distrital y POT</t>
  </si>
  <si>
    <t>Gestión con actores estratégicos Suroccidente - Asojuntas Tintal</t>
  </si>
  <si>
    <t>Fortalecer las relaciones con los actores estratégicos del territorio para articular los procesos de participación. Asojuntas Tintal</t>
  </si>
  <si>
    <t>Villa Alsacia, Castilla, Techo de Bavaria</t>
  </si>
  <si>
    <t>Calle 11A 72D 20 barrio villa alsacia salón comunal</t>
  </si>
  <si>
    <t>Invitación a devolución sector suroccidente a actores estratégicos del territorio para articular los procesos de participación como la JAC Villa alsacia y fundavivir  de la UPL Tintal</t>
  </si>
  <si>
    <t>Reunión con gremio de comerciantes y autopartistas AE campin 7 de agosto</t>
  </si>
  <si>
    <t>Dialogar con representantes de los colectivos autopartistas y comerciantes ubicados en el área de influencia de la AE campin 7 de agosto.</t>
  </si>
  <si>
    <t>Gabriel Prieto</t>
  </si>
  <si>
    <t>323 813 7062</t>
  </si>
  <si>
    <t>gabrielprieto754@gmail.com</t>
  </si>
  <si>
    <t>La Paz</t>
  </si>
  <si>
    <t>Kra 30 # 25 - 90 Pisos mezzanine</t>
  </si>
  <si>
    <t>Compartir la fase de directrices y resolver las imprecisiones alrededor de la AE campin 7 de agosto, con actores especializados del sector.</t>
  </si>
  <si>
    <t>Gestión con actores estratégicos -  CPL Tunjuelito</t>
  </si>
  <si>
    <t>Fortalecer las relaciones con los actores estratégicos del territorio para articular los procesos de participación. Consejo de Planeación Local (CPL) de Tunjuelito. CPL de Tunjuelito</t>
  </si>
  <si>
    <t>Kevin Cediel</t>
  </si>
  <si>
    <t>3057639358</t>
  </si>
  <si>
    <t>cpltunjuelito2024@gmail.com</t>
  </si>
  <si>
    <t>Plan de Desarrollo Distrital; POT SPT; Acción devoluciín PDD;</t>
  </si>
  <si>
    <t>Reunion para equipos plan de trabajo asamableas ciudadanas</t>
  </si>
  <si>
    <t>Revisión plan de trabajo convocatoria de asambleas deliberativas</t>
  </si>
  <si>
    <t>LLamada telefonica</t>
  </si>
  <si>
    <t>Presentación lideres de las SDP para meta asambleas deliberativas</t>
  </si>
  <si>
    <t>Apoyo Escuela Nacional León Zuleta</t>
  </si>
  <si>
    <t>Apoyar la Escuela Nacional León Zuleta Bloque Ideológico-  movimiento social dando cumplimiento al plan de accion de la política publica LGBTI</t>
  </si>
  <si>
    <t>Nemias Gomez</t>
  </si>
  <si>
    <t>carrera 13A # 38-60</t>
  </si>
  <si>
    <t xml:space="preserve">Acompañamiento y apoyo a escuela del colectivo león Zuleta en el marco del cumplimiento a meta del plan de accion de la política publica LGBTI </t>
  </si>
  <si>
    <t>Activación de actores alcaldía local de Rafael Uribe Uribe</t>
  </si>
  <si>
    <t>Socializar con funcionarios de la alcaldía local de Rafael Uribe Uribe el plan de desarrollo distrital</t>
  </si>
  <si>
    <t>Maribel Neusa</t>
  </si>
  <si>
    <t>maribel.neusa@gobiernobogota.gov.co</t>
  </si>
  <si>
    <t>Alcaldía local de Rafael Uribe calle 32 sur no. 23 62</t>
  </si>
  <si>
    <t>ABC Del Plan De Desarrollo Distrital, Principales Logros</t>
  </si>
  <si>
    <t>Activación de actores líderes comunitarios asistentes a proceso de formación recursos humanos</t>
  </si>
  <si>
    <t>Socializar a los asistentes del técnico de recursos humanos acerca deñ Plan Distrital de Desarrollo, el ABC, se les invita a devolución del sector suroriental</t>
  </si>
  <si>
    <t>301 4581223</t>
  </si>
  <si>
    <t>Resurección</t>
  </si>
  <si>
    <t>Colegio Misael Pastrana Borrero</t>
  </si>
  <si>
    <t>Socialización del Plan de Desarrollo Distrital,  metas de la localidad, el ABC y se invita a la devolución sector suroriental</t>
  </si>
  <si>
    <t>Reactivación actores JAC La Merced</t>
  </si>
  <si>
    <t>Socializar el Plan de Desarrollo Distrital, el ABC, presentar los principales proyectos del plan y convocar a la devolución de la sur oriental</t>
  </si>
  <si>
    <t>Sonia Ortegon</t>
  </si>
  <si>
    <t>3115904087</t>
  </si>
  <si>
    <t>sonicortega3@gmail.com</t>
  </si>
  <si>
    <t>La Merced</t>
  </si>
  <si>
    <t>Jac la Merced</t>
  </si>
  <si>
    <t>Reactivación de actores</t>
  </si>
  <si>
    <t>Socializar el Plan de Desarrollo Distrital, su ABC y convocarlo a devolución de la zona Sur Oriental</t>
  </si>
  <si>
    <t>Norbey Molina</t>
  </si>
  <si>
    <t>3118963558</t>
  </si>
  <si>
    <t>norbe4692008@gmail.com</t>
  </si>
  <si>
    <t>Resurrección</t>
  </si>
  <si>
    <t>Jac Resurrección</t>
  </si>
  <si>
    <t>Orion Mi orgullo Stonewall Inn</t>
  </si>
  <si>
    <t>Apoyar Conmemoración Orión Mi orgullo Stonewall Inn, dando cumplimiento al plan de accion de la política publica LGBTI</t>
  </si>
  <si>
    <t xml:space="preserve">Universidad Distrital Francisco José de Caldas Cra 8 N 40 - 43
</t>
  </si>
  <si>
    <t>Conmemoración Orión Mi orgullo Stonewall Inn</t>
  </si>
  <si>
    <t>Marcha LGBTI 2024</t>
  </si>
  <si>
    <t>Celebrar la diversidad y el Orgullo Bogotá en la Gran Marcha del Orgullo LGBTI</t>
  </si>
  <si>
    <t xml:space="preserve">David Alonso </t>
  </si>
  <si>
    <t xml:space="preserve"> 3004458788</t>
  </si>
  <si>
    <t>dalonso@sdp.gov.co</t>
  </si>
  <si>
    <t>Santafe</t>
  </si>
  <si>
    <t>carrera 7 # 11-10</t>
  </si>
  <si>
    <t xml:space="preserve">Participación en marcha como parte de la articulación interinstitucional con la DDSPG </t>
  </si>
  <si>
    <t>Comite de convocatoria para asambleas ciudadanas</t>
  </si>
  <si>
    <t xml:space="preserve">Se realizará la revisión de la convocatoria </t>
  </si>
  <si>
    <t xml:space="preserve">Reunión de Microsoft Teams
</t>
  </si>
  <si>
    <t>Convocatoria meta asambleas</t>
  </si>
  <si>
    <t>3012144352</t>
  </si>
  <si>
    <t>mdoncel@participacionbogota.gov.co</t>
  </si>
  <si>
    <t>Dirección Local de Educación Cra 7 No. 22 - 44 piso 2</t>
  </si>
  <si>
    <t>Socialización talleres en salud en el Laboratorio TIPS - S. Salud,  Presupuestos participativos - Alcaldía Local y Programa de escalamientos de conflictos y acompañamientos - Gobierno</t>
  </si>
  <si>
    <t>Gestión con actores estratégicos - Consejo Local de Ruralidad Usme (UPL CUENCA DEL TUNJUELO)</t>
  </si>
  <si>
    <t xml:space="preserve">Otilia Cuervo </t>
  </si>
  <si>
    <t>3194549230</t>
  </si>
  <si>
    <t>nomaneja@gmail.com</t>
  </si>
  <si>
    <t xml:space="preserve">Comunidad rural de Usme </t>
  </si>
  <si>
    <t>Alcaldía Local de Sumapaz</t>
  </si>
  <si>
    <t>Plan Distrital de Desarrollo - Política Pública de Ruralidad</t>
  </si>
  <si>
    <t>CLIP Fontibon</t>
  </si>
  <si>
    <t xml:space="preserve">Encuentros Ciudadanos Fontibón, Fortalecimiento Instancias Participación, IV fase del plan de Desarrollo Distrital </t>
  </si>
  <si>
    <t>Reunión Ordinaria Mesa Directiva CTPD</t>
  </si>
  <si>
    <t>Liliana de los Angeles Urrego Navarro</t>
  </si>
  <si>
    <t>Presupuesto Plan de Acción 2024 y cuentas de correo CTPD/SDP</t>
  </si>
  <si>
    <t>Gestión: Activación de actores UPL San Cristóbal CPL</t>
  </si>
  <si>
    <t>Ricardo Nieto</t>
  </si>
  <si>
    <t>3106285045</t>
  </si>
  <si>
    <t>Alcaldía Local de San Cristóbal. Cl. 20 Sur, San Cristóbal, Bogotá</t>
  </si>
  <si>
    <t>Notificación a la comunidad de la última fase del PDD (la devolución) del sector sur oriental, formación de comités ciudadanos y notificación de las asambleas deliberativas.</t>
  </si>
  <si>
    <t xml:space="preserve">Reunión de Gestión: preparatoria taller de devolución UPL Sumapaz </t>
  </si>
  <si>
    <t xml:space="preserve">Dar los lineamientos de las actividades de devolución al equipo de apoyo. </t>
  </si>
  <si>
    <t xml:space="preserve">Herramientas para los talleres de devolución. </t>
  </si>
  <si>
    <t>9:00 am</t>
  </si>
  <si>
    <t>Articular las acciones de la OPDC al plan de acción de la Mesa de Cultura Ciudadana con entidades del distrito</t>
  </si>
  <si>
    <t>Presentación del Plan de Acción de la Mesa de Cultura Ciudadana, de manera específica las temáticas intersectoriales donde tiene interacción la SDP.</t>
  </si>
  <si>
    <t>Acompañar la articulación de los esfuerzos institucionales de participación en la localidad de Sumapaz</t>
  </si>
  <si>
    <t xml:space="preserve">Cristian Torres </t>
  </si>
  <si>
    <t>3232073505</t>
  </si>
  <si>
    <t xml:space="preserve">Reglamento de la CLIP, PDD y PDL. </t>
  </si>
  <si>
    <t>Capacitación general - Fase IV PDD</t>
  </si>
  <si>
    <t>Capacitar al equipo territorial, sobre las especificidades de la metodología para las devoluciones del PDD</t>
  </si>
  <si>
    <t>Auditorio SuperCAD</t>
  </si>
  <si>
    <t>Especificidades de la metodología para la Fase IV - Reconocimiento de la acción colectiva</t>
  </si>
  <si>
    <t>Acompañar la articulación de los esfuerzos institucionales de participación en la localidad de Rafael Uribe Uribe</t>
  </si>
  <si>
    <t>Alvaro Cordoba</t>
  </si>
  <si>
    <t>Calle 32sur No 23 62</t>
  </si>
  <si>
    <t>Acompañar la articulación de los esfuerzos institucionales de participación en la localidad de RAfael Uribe Uribe</t>
  </si>
  <si>
    <t>Gestión actores estratégicos Norte - JAC Santa Mónica</t>
  </si>
  <si>
    <t>Fortalecer las relaciones con los actores estratégicos del territorio para articular los procesos de participación. JAC Santa Mónica</t>
  </si>
  <si>
    <t>William Chaves Barbosa</t>
  </si>
  <si>
    <t>3125219721</t>
  </si>
  <si>
    <t xml:space="preserve">kr 16b # 167b - 74 </t>
  </si>
  <si>
    <t xml:space="preserve">ABC del Plan Distrital de Desarrollo, Devolución PDD fase IV </t>
  </si>
  <si>
    <t>AE Calle 72 - Taller Ambientalistas Barrios Unidos</t>
  </si>
  <si>
    <t xml:space="preserve">Acompañar la reunión con líderes ambientalistas del sector AE campin 7 de agosto. </t>
  </si>
  <si>
    <t xml:space="preserve">jhon jairo garcia </t>
  </si>
  <si>
    <t>meet.google.com/reh-vfem-mrx</t>
  </si>
  <si>
    <t>Recibir de la comunidad información sobre temas ambientales de la AE Calle 72 correspondiente a la UPL Barrios Unidos.</t>
  </si>
  <si>
    <t>Territorios Progreso Fundación Social</t>
  </si>
  <si>
    <t>Acompañamiento en la mesa para Territorios de Progreso de la Fundación Social</t>
  </si>
  <si>
    <t xml:space="preserve">Ximena torres </t>
  </si>
  <si>
    <t>Bilbao</t>
  </si>
  <si>
    <t>Calle 72 No 10-71  Fundación Social</t>
  </si>
  <si>
    <t>Se trabajó en el diseño del componente de participación como parte de la estrategia de fortalecimiento que adelanta la Fundación Grupo Social en los territorios de Bilbao en Suba y Sierra Morena en Ciudad Bolívar y que se denomina Territorios Progreso. A esta mesa de trabajo fuimos como invitados para contribuir al proceso de co-creación de la estrategia y adelantar gestiones de articulación de actores.</t>
  </si>
  <si>
    <t>3004241263</t>
  </si>
  <si>
    <t>Sede de la Antigua ubicada en al Calle 120 A # 7-55</t>
  </si>
  <si>
    <t xml:space="preserve">Plan de Acción previsto para el desarrollo de la CLIP y se explicó y se realizó un taller sobre la estrategia de Bogotá Distribuye lo Local </t>
  </si>
  <si>
    <t xml:space="preserve">CLIP Candelaria </t>
  </si>
  <si>
    <t>Acompañar la sesión de la CLIP, para la articulación de los esfuerzos institucionales de participación en la localidad de la Candelaria.</t>
  </si>
  <si>
    <t>Diana Alexandra Mutiz Arcos</t>
  </si>
  <si>
    <t>3102079889</t>
  </si>
  <si>
    <t>Casa Comunitaria de La Concordia (Calle 12 d # 3 - 22)</t>
  </si>
  <si>
    <t>Revisión de acta anterior, presentación de equipo territorial del IDPAC, ejercicio de distribución de presupuestos locales</t>
  </si>
  <si>
    <t xml:space="preserve"> Gestión con actores estratégicos - UPL Porvenir (JAC)</t>
  </si>
  <si>
    <t>Fortalecer las relaciones con los actores estratégicos del territorio para articular los procesos de participación. JAC en la UPL Porvenir.</t>
  </si>
  <si>
    <t>Jaime Guarin</t>
  </si>
  <si>
    <t>3115649961</t>
  </si>
  <si>
    <t>Centauros</t>
  </si>
  <si>
    <t>Carrera 92a # 56h - 40 sur (salón comunal los centauros)</t>
  </si>
  <si>
    <t>Invitación a devolución PDD y sus generalidades.</t>
  </si>
  <si>
    <t>Sesión Mesa Técnica - CTPD</t>
  </si>
  <si>
    <t xml:space="preserve">Realizar el acompañamiento como Secretaría Técnica a la sesión de Mesa Técnica del CTPD y continuar con el orden del día. </t>
  </si>
  <si>
    <t>Se decidió para el 25 de julio hacer la devolución del PDD por parte de Distrito. - Se dio la explicación del diplomado por pate de la UNAD. - Se mencionó el tema de las inasistencias donde se concluyó que se realizará un informe detallado y será tomadas en plenaria las medidas a tomar. - Se acordó participar de la invitación hecha por D.C. Radio. - Se aprobó la pieza comunicativa sobre el comunicado por el asesinato de la lideresa Alba Rocío Riaño Nossa.</t>
  </si>
  <si>
    <t>Gestión con actores estratégicos - UPL Tintal JACS</t>
  </si>
  <si>
    <t>Fortalecer las relaciones con los actores estratégicos del territorio para articular los procesos de participación. JACS  (JAC Tintal, Andalucía 1 y 2,Vision Colombia, Vergel, Santa catalina y Villa Liliana)</t>
  </si>
  <si>
    <t>Claudio Fonseca Salamanca</t>
  </si>
  <si>
    <t>3014448013</t>
  </si>
  <si>
    <t>claudiofonseka@hotmail.com</t>
  </si>
  <si>
    <t>Salón Comunal El Tintal- Calle 13 bis # 80D-32</t>
  </si>
  <si>
    <t>Invitación a devolución sector sur occidente de plan distrital de desarrollo</t>
  </si>
  <si>
    <t>Presentación de Resultados del Diálogo Ciudadano - Actuación Estratégica Montevideo</t>
  </si>
  <si>
    <t>Presentar los resultados del diálogo ciudadano de directrices de la AE Montevideo</t>
  </si>
  <si>
    <t>Daniel Pérez Sarmiento</t>
  </si>
  <si>
    <t>3103168517</t>
  </si>
  <si>
    <t>jacbpuentearanda@gmail.com</t>
  </si>
  <si>
    <t>Carrera 56 # 15-34</t>
  </si>
  <si>
    <t>Se presentaron los resultados que surgieron del diálogo ciudadano de directrices de la AE Montevideo</t>
  </si>
  <si>
    <t>Comisión POT - CTPD</t>
  </si>
  <si>
    <t>Sesión Extraordinaria de la comicion POT CTPD</t>
  </si>
  <si>
    <t>Angela Patricia Manrique</t>
  </si>
  <si>
    <t>Revisión del Presupuesto asignado al plan de acción de la comisión</t>
  </si>
  <si>
    <t>Socialización del Sistema de Participación Territorial y el Plan Distrital de Desarrollo a los Observatorios Ciudadanos Locales de Tunjuelito y Bosa</t>
  </si>
  <si>
    <t>Acompañar y socializar los Sistemas de Participación Territorial y el Plan Distrital de Desarrollo en la localidad de Bosa.</t>
  </si>
  <si>
    <t>Magda Katherine Ayala De La Rosa</t>
  </si>
  <si>
    <t>correspondencia@veeduriadistrital.gov.co</t>
  </si>
  <si>
    <t>Casa de la participación Bosa (Carrera 80k # 61-28 sur)</t>
  </si>
  <si>
    <t>Socialización del Sistema de Participación Territorial y el Plan Distrital de Desarrollo.</t>
  </si>
  <si>
    <t>Acompañamiento a citación Bogota te escucha (barrio Coordillera Sur)</t>
  </si>
  <si>
    <t>Acompañar la reunion convocada el señor Luis Francisco Mártinez en el portal de Bogotá te escucha e invitar a la devolución ciudadana construcción PDD - Sector Suroriente</t>
  </si>
  <si>
    <t xml:space="preserve"> 311 2565627</t>
  </si>
  <si>
    <t>Coordillera Sur</t>
  </si>
  <si>
    <t>Subdirección de Planeamiento Local del Suroriente</t>
  </si>
  <si>
    <t>el objetivo de la reunión es escuchar a la ciudadanía referente al DP de bogota te escucha e invitar a la  Devolución ciudadana construcción PDD - Sector Suroriente</t>
  </si>
  <si>
    <t>Jornadas de devolución AE Calle 72.</t>
  </si>
  <si>
    <t>Realizar jornada de socialización en la fase de directrices frente a las propuestas que fueron o no incluidas en la AE calle 72, reconociendo la participación ciudadana.</t>
  </si>
  <si>
    <t>Simón Bolívar</t>
  </si>
  <si>
    <t>Cra. 52 #74-61</t>
  </si>
  <si>
    <t>Presentación de la cartografía social y acciones de la estrategia de participación desarrollada para la AE de la Calle 72.</t>
  </si>
  <si>
    <t xml:space="preserve">Devolución ciudadana construcción PDD - UPL Sumapaz  - Nazareth </t>
  </si>
  <si>
    <t>Realizar la devolución y rendición de cuentas sobre los resultados de la participación en la formulación del Plan Distrital de Desarrollo y la Socialización del acuerdo adoptado con miras a promover la confianza, apropiación y corresponsabilidad para la futura implementación del plan.</t>
  </si>
  <si>
    <t xml:space="preserve">Heriberto Bernal </t>
  </si>
  <si>
    <t>312 5695208</t>
  </si>
  <si>
    <t xml:space="preserve">Salón comunal de Nazareth </t>
  </si>
  <si>
    <t>Logros de la comunidad rural en el Plan Distrital de Desarrollo</t>
  </si>
  <si>
    <t>Devolución ciudadana construcción PDD - UPL Sumapaz - Betania</t>
  </si>
  <si>
    <t>Carlos Pulido</t>
  </si>
  <si>
    <t xml:space="preserve">Salón comunal vereda Betania </t>
  </si>
  <si>
    <t>Explicación general del PDD, ruta de la participación en la ruralidad, programas específicos en la ruralidad que se lograron y no se lograron, SPT con los comités ciudadanos como herramienta de veeduría y los PIP en las ruralidades.</t>
  </si>
  <si>
    <t xml:space="preserve">CLIP extraordinaria Kennedy </t>
  </si>
  <si>
    <t>Acompañar la sesión extraordinaria citada por la secretaría técnica del IDPAC para continuar en el proceso de articulación de los esfuerzos institucionales de participación en la localidad de Kennedy.</t>
  </si>
  <si>
    <t>Mesas de concertación y Bogotá distribuye lo local.</t>
  </si>
  <si>
    <t xml:space="preserve">Activación de actores JAL Tunjuelito </t>
  </si>
  <si>
    <t xml:space="preserve">Fortalecer las relaciones con los actores estratégicos del territorio para articular los procesos de participación.  JAL Tunjuelito </t>
  </si>
  <si>
    <t xml:space="preserve">Viviana Castiblanco </t>
  </si>
  <si>
    <t>3106804403</t>
  </si>
  <si>
    <t xml:space="preserve">Tunjuelito </t>
  </si>
  <si>
    <t>Diagonal 50 A No. 18 – 48 sur barrio San Carlos</t>
  </si>
  <si>
    <t>Plan Distrital de Desarrollo - Acción de devolución PDD Suroriente - CONFIS</t>
  </si>
  <si>
    <t>Socialización PIP JAL Tunjuelito</t>
  </si>
  <si>
    <t>Socializar los PIP para posicionarlos con los actores locales</t>
  </si>
  <si>
    <t>310 6804403</t>
  </si>
  <si>
    <t>viviana.edil2023@gmail.com</t>
  </si>
  <si>
    <t xml:space="preserve">San Carlos </t>
  </si>
  <si>
    <t>Alcaldía local de Tunjuelito - Diagonal 50 A # 18 - 48 Sur - Barrio San Carlos</t>
  </si>
  <si>
    <t xml:space="preserve">Proyectos Integrales de Proximidad - Plan de Desarrollo Local </t>
  </si>
  <si>
    <t>Gestión: Activación de actores UPL San Cristóbal Subred Centro Oriente.</t>
  </si>
  <si>
    <t>Fortalecer las relaciones con los actores estratégicos del territorio para articular los procesos de participación. SubSubred Centro Oriente</t>
  </si>
  <si>
    <t>Ángela Rocio Arciniegas</t>
  </si>
  <si>
    <t>3133879803</t>
  </si>
  <si>
    <t>localsancristobal04@gmail.com</t>
  </si>
  <si>
    <t>Centro de Desarrollo Comunitario San Blas Cra. 3 Este #18a Sur57</t>
  </si>
  <si>
    <t>Socialización Sistema de Participación Territorial - Observatorio Ciudadano Local de Tunjuelito</t>
  </si>
  <si>
    <t>Socializar el Sistema de Participación Territorial y el Plan Distrital de Desarrollo a los Observatorios Ciudadanos Locales de Tunjuelito y Bosa</t>
  </si>
  <si>
    <t>Magda Katherine Ayala de la Rosa</t>
  </si>
  <si>
    <t>350 8212744</t>
  </si>
  <si>
    <t>Diagonal 50 A # 18 - 48 Sur - Barrio San Carlos, Alcaldía Local de Tunjuelito</t>
  </si>
  <si>
    <t xml:space="preserve">Plan de Desarrollo Distrital - Sistema de Participación Territorial - Plan de Desarrollo Local </t>
  </si>
  <si>
    <t xml:space="preserve">Activación de actores Alcalde Local de Tunjuelito </t>
  </si>
  <si>
    <t xml:space="preserve">Fortalecer las relaciones con los actores estratégicos del territorio para articular los procesos de participación. Alcalde Local de Tunjuelito </t>
  </si>
  <si>
    <t>Marcela Silva</t>
  </si>
  <si>
    <t>3133494865</t>
  </si>
  <si>
    <t>defensorciudadanoSDG@gobiernobogota.gov.co</t>
  </si>
  <si>
    <t xml:space="preserve">Plan de desarrollo distrital - Proyectos Integrales de Proximidad </t>
  </si>
  <si>
    <t xml:space="preserve">Socialización PIP Alcaldía local Tunjuelito </t>
  </si>
  <si>
    <t xml:space="preserve">Socializar los PIP para posicionar los proyectos con los actores locales </t>
  </si>
  <si>
    <t xml:space="preserve">Marcela Silva </t>
  </si>
  <si>
    <t>313 3494865</t>
  </si>
  <si>
    <t>notifica.judicial@gobiernobogota.gov.co</t>
  </si>
  <si>
    <t xml:space="preserve">Proyectos Integrales de Proximidad - Plan de desarrollo local </t>
  </si>
  <si>
    <t xml:space="preserve"> Gestión con Actores Estratégicos- JAC San Nicolas UPL Niza </t>
  </si>
  <si>
    <t xml:space="preserve">Fortalecer las relaciones con los actores estratégicos del territorio para articular los procesos de participación. JAC San Nicolas </t>
  </si>
  <si>
    <t>Alicia Mogollon</t>
  </si>
  <si>
    <t>3162328074</t>
  </si>
  <si>
    <t xml:space="preserve">San Nicolas </t>
  </si>
  <si>
    <t>Calle 116 # 70C-04</t>
  </si>
  <si>
    <t xml:space="preserve">Socialización del ABC del PDD; explicación de la matriz de metas del PDD 2024-2027; preguntas y respuestas de otros instrimentos de planeación (POT, políticas públicas) </t>
  </si>
  <si>
    <t>Gestión actores estratégicos Noroccidente - CPL y Asojuntas Suba</t>
  </si>
  <si>
    <t>Fortalecer las relaciones con los actores estratégicos del territorio para articular los procesos de participación. CPL y Asojuntas</t>
  </si>
  <si>
    <t>Ricardo Diaz</t>
  </si>
  <si>
    <t>311 4439168</t>
  </si>
  <si>
    <t xml:space="preserve">Casa de la Participación Suba </t>
  </si>
  <si>
    <t>PDD, POT, PIP, ALO, AE, Ciudadela Educativa y del Cuidado.</t>
  </si>
  <si>
    <t>Socialización Sistema de Participación Territorial UPL Niza</t>
  </si>
  <si>
    <t>Socializar el Sistema de Participación Territorial con la UPL Niza motivando para la conformación de los comités ciudadanos de los instrumentos del POT</t>
  </si>
  <si>
    <t>Alicia Mogolla</t>
  </si>
  <si>
    <t>Calle 116 # 70C- 04</t>
  </si>
  <si>
    <t>Socialización Decreto 599 de 2023; explicación del procedimiento de conformación de los comités ciudadanos del SPT en el marco de los instrumentos de planeación del POT</t>
  </si>
  <si>
    <t xml:space="preserve">Socialización PIP sector Norte - CPL Suba  </t>
  </si>
  <si>
    <t xml:space="preserve">Socializar las generalidades de los PIP al CPL de la localidad de suba Sector Norte </t>
  </si>
  <si>
    <t xml:space="preserve"> 3114439168</t>
  </si>
  <si>
    <t>Casa de la Participación Suba</t>
  </si>
  <si>
    <t xml:space="preserve">Socialización del ABC del PDD y  PIP zona Norte y Zona Noroccidente con CPL Suba </t>
  </si>
  <si>
    <t>Sesión Ordinaria Comisión Desarrollo Regional CTPD</t>
  </si>
  <si>
    <t>Realizar el acompañamiento como secretaría técnica a la Sesión Ordinaria de la Comisión de Desarrollo Regional del CTPD, para la construcción del Plan de Trabajo de la Comisión.</t>
  </si>
  <si>
    <t>Se realizó la priorización y la construcción de las estrategias del Plan de Acción de la comisión con el apoyo de la UNAD.</t>
  </si>
  <si>
    <t xml:space="preserve">Socialización PIP sector Noroccidente - CPL Suba UPL Tibabuyes, Suba y Rincón de Suba </t>
  </si>
  <si>
    <t xml:space="preserve">Realizar la Socialización PIP  en el sector Noroccidente con la CPL Suba  con las UPLs Tibabuyes, Suba y Rincón de Suba </t>
  </si>
  <si>
    <t>Casa de la participación suba</t>
  </si>
  <si>
    <t>PDD, PIP, Ciudadela Educativa y del Cuidado, ALO Y POT.</t>
  </si>
  <si>
    <t>Activación de actores de participación localidad Fontibon</t>
  </si>
  <si>
    <t>Marleiby Acevedo</t>
  </si>
  <si>
    <t>318 6081424</t>
  </si>
  <si>
    <t>macevedos@sdis.gov.co</t>
  </si>
  <si>
    <t>Carrera 104B # 22J-15</t>
  </si>
  <si>
    <t>Proyección CLOPS, Activación de actores de participación, jornada de prevención de tuberculosis</t>
  </si>
  <si>
    <t>Gestión Actores Estratégicos Occidente - CPL Sector Cultura Arte y Patrimonio</t>
  </si>
  <si>
    <t>Fortalecer las relaciones con los actores estratégicos del territorio para articular los procesos de participación con el Sector Cultura, Arte y Patrimonio del CPL Engativá.</t>
  </si>
  <si>
    <t>Milena Perez</t>
  </si>
  <si>
    <t>mileperez1822@gmail.com</t>
  </si>
  <si>
    <t>Santa María del Lago</t>
  </si>
  <si>
    <t>Carrera 76 # 75B - 02</t>
  </si>
  <si>
    <t>Se socializó el ABC del Plan Distrital de Desarrollo, específicamente las 37 metas producto que benefician al sector cultura, arte y patrimonio</t>
  </si>
  <si>
    <t>Comite de Asambleas deliberativas</t>
  </si>
  <si>
    <t>Seguimiento de todos los avances realizados para la meta de asambleas deliberativas</t>
  </si>
  <si>
    <t xml:space="preserve">https://teams.microsoft.com/dl/launcher/launcher.html?url=%2F_%23%2Fl%2Fmeetup- </t>
  </si>
  <si>
    <t xml:space="preserve">Presentación equipo fundación corona y avances oficio convocatoria </t>
  </si>
  <si>
    <t>Acompañar la sesión de la CLIP, para la articulación de los esfuerzos institucionales de participación en la localidad de Engatiá.</t>
  </si>
  <si>
    <t>3005698632</t>
  </si>
  <si>
    <t>Bogotá distribuye lo local y el contrato 379 de protección y bienestar animal</t>
  </si>
  <si>
    <t>Acompañar la sesión de la CLIP, para la articulación de los esfuerzos institucionales de participación en la localidad de Tunjuelito.</t>
  </si>
  <si>
    <t>Jessica Pita</t>
  </si>
  <si>
    <t>320 4108010</t>
  </si>
  <si>
    <t>jpita@participacionbogota.gov.co</t>
  </si>
  <si>
    <t>Diagonal 47 A SUR 53 B 27 sur - SLIS Tunjuelito</t>
  </si>
  <si>
    <t xml:space="preserve">Plan de Ordenamiento Territorial - Presupuestos participativos - Invitación Taller de devolución Suroriente </t>
  </si>
  <si>
    <t xml:space="preserve">Alejandro Igua </t>
  </si>
  <si>
    <t>3053986582</t>
  </si>
  <si>
    <t>chapinero</t>
  </si>
  <si>
    <t>Alcaldia Local Chapinero, Auditorio, Carrera 13 #5474, Bogotá</t>
  </si>
  <si>
    <t>Bogota distribuye lo local</t>
  </si>
  <si>
    <t xml:space="preserve">Gestión: Revisión de cartografía SSSM </t>
  </si>
  <si>
    <t>Realizar revisión de cartografia del mapa que compone el Sistema de Sitios Sagrados Muisca con la dirección de cartografia y despacho</t>
  </si>
  <si>
    <t>Gabriel Millan</t>
  </si>
  <si>
    <t>3143092039</t>
  </si>
  <si>
    <t>gmillan@sdp.gov.co</t>
  </si>
  <si>
    <t>Pueblo Muisca</t>
  </si>
  <si>
    <t>Av. Carrera 30#25-90</t>
  </si>
  <si>
    <t>Sistema de sitios sagrados Muisca; Cartografía</t>
  </si>
  <si>
    <t>Sesión Ordinaria de la Comisión Plan de Desarrollo Distrital del CTPD</t>
  </si>
  <si>
    <t xml:space="preserve">Realizar el acompañamiento como Secretaría Técnica a la sesión ordinaria de la Comisión de Plan Distrital de Desarrollo, con el objetivo de acordar las fechas y presupuesto del Plan de Acción de la comisión.
</t>
  </si>
  <si>
    <t>3212029774</t>
  </si>
  <si>
    <t>Concertación fechas y presupuesto del Plan de Acción de la comisión.</t>
  </si>
  <si>
    <t>Actuación Estratégica Cll. 72 - Encuentro Veeduría Barrio Colombia</t>
  </si>
  <si>
    <t>Acompañar el encuentro con la Veeduría Ciudadana conformada por empresarios, residentes y lideres del sector de Barrio Colombia.</t>
  </si>
  <si>
    <t>319 468 6812</t>
  </si>
  <si>
    <t>Loa Alcázares</t>
  </si>
  <si>
    <t>Ak. 19 #71a -05 Hotel Inn 72 Nueva Sede</t>
  </si>
  <si>
    <t>Reunión con propietarios y comerciantes del sector para informar sobre la AE Calle 72.</t>
  </si>
  <si>
    <t>Gestión: Reunión preparatoria devolución PDD (Gobierno y OPDC) - Comunidad Raizal</t>
  </si>
  <si>
    <t>Construcción de agenda y metodología para la devolución del PDD con comunidad Raizal</t>
  </si>
  <si>
    <t>3013547532</t>
  </si>
  <si>
    <t>marcus.hooker@gobiernobogota.gov.co</t>
  </si>
  <si>
    <t>Devolución PDD; comunidad raizal; sistema de participación territorial</t>
  </si>
  <si>
    <t xml:space="preserve">Gestión: capacitación SISBEN </t>
  </si>
  <si>
    <t>Capacitar a los funcionarios de la Secretaría Distrital de Planeación en la plataforma de encuesta SISBEN</t>
  </si>
  <si>
    <t>Alexi Ayala chacon</t>
  </si>
  <si>
    <t>3115086317</t>
  </si>
  <si>
    <t>Aayala@sdp.gov.co</t>
  </si>
  <si>
    <t>Auditorio CTPD</t>
  </si>
  <si>
    <t>Se hace la segunda sesión para explicar el desarrollo de encuesta Sisben a los contratistas de la oficina de participación que van a apoyar el desarrollo</t>
  </si>
  <si>
    <t>Comité Intersectorial del PDD</t>
  </si>
  <si>
    <t>Adelantar el seguimiento a la Comisión Intersectorial para el desarrollo de la Fase IV.</t>
  </si>
  <si>
    <t>Luna Paulina Benjumea</t>
  </si>
  <si>
    <t>Acceso caja de herramientas</t>
  </si>
  <si>
    <t>Reunión de Formación y Pedagogía de Asambleas Ciudadanas</t>
  </si>
  <si>
    <t>Revisar el plan de trabajo para la formación ciudadana en Asambleas Ciudadanas</t>
  </si>
  <si>
    <t xml:space="preserve">Daniela Méndez </t>
  </si>
  <si>
    <t>3184207473</t>
  </si>
  <si>
    <t>Dmendez@extituto.org</t>
  </si>
  <si>
    <t xml:space="preserve">Formación y pedadogía para la Meta Asamblea; Componentes para el diseño de la formación; Experiencias previas de formación para Asambleas Ciudadanas. </t>
  </si>
  <si>
    <t>CLIP Teusaquillo.</t>
  </si>
  <si>
    <t>Acompañar la articulación de los esfuerzos institucionales de participación en la localidad de Teusaquillo y presentar temas locales, PEMP y CUPI Teusaquillo, AE Chapinero reverdece y coordinación interinstitucional a las entidaddes convocadas.</t>
  </si>
  <si>
    <t>3163896199</t>
  </si>
  <si>
    <t>Transversal 18 Bis No. 38- 41</t>
  </si>
  <si>
    <t>Bogotá Distribuye lo local, intervención de la Alcaldía Local, PEMP Teusaquillo y CUPI y actuación estratégica Chapinero Reverdece.</t>
  </si>
  <si>
    <t>Oswaldo Cárdenas Ávila</t>
  </si>
  <si>
    <t>Barrio El Virrey (Usme).</t>
  </si>
  <si>
    <t>CDC Secretaría de Integración Social Usme. Calle 91A Sur, Ac. 91 Sur #34</t>
  </si>
  <si>
    <t>Inicio de los proyectos para Plan de Desarrollo Local, finalización próxima de mesas de concertación para conceptos de gasto y actualización de sectores.</t>
  </si>
  <si>
    <t>Reunión Preparatoria de Devolución ciudadana construcción PDD - Sector Suroccidente</t>
  </si>
  <si>
    <t>Socializar metodología del espacio con el equipo de la Oficina de Participación y la Subdirección Local de Suroccidente.</t>
  </si>
  <si>
    <t>Secretaría Distrital de Planeación, Supercade segundo piso CTPD/SDP</t>
  </si>
  <si>
    <t xml:space="preserve">Metodología de Devolución, instrumentos de planeación, temas a tratar, temas álgidos en el territorio, preparación de roles. </t>
  </si>
  <si>
    <t>Gestion - Reunion virtual Devolucion Region Metropolitana</t>
  </si>
  <si>
    <t>Coordinar la devolución del PDD en la Región Metropolitana</t>
  </si>
  <si>
    <t>sandra montealegre</t>
  </si>
  <si>
    <t>3176652026</t>
  </si>
  <si>
    <t>sandram.montealegre.m@gmail.com</t>
  </si>
  <si>
    <t xml:space="preserve">Coordinación devolución PDD Región Metropolitana </t>
  </si>
  <si>
    <t>Gestión con Actores Estratégicos - CPL, JAC y Federación de Comunidades y Pueblos Artesanos y Originarios - UPL Kennedy y Patio bonito</t>
  </si>
  <si>
    <t>Fortalecer las relaciones con los actores estratégicos del territorio para articular los procesos de participación. CPL, JAC y Federación de Comunidades y Pueblos Artesanos y Originarios</t>
  </si>
  <si>
    <t>Salón comunal del barrio Ciudad Galán (Carrera 98 38-22sur)</t>
  </si>
  <si>
    <t xml:space="preserve">Plan Distrital de Desarrollo, programas, metas, fases de participación y recursos asignados. </t>
  </si>
  <si>
    <t>Gestión: Consultiva Negra-afrocolombiana: Preparatoria Acción Afirmativa - Cartografía social</t>
  </si>
  <si>
    <t>Construcción de agenda y de metodologia para la realización de cartografia social con la Comunidad Negra Afrocolombiana en la Localidad de Bosa</t>
  </si>
  <si>
    <t>3143909467</t>
  </si>
  <si>
    <t>edwin.caicedo@gobiernobogota.gov.co</t>
  </si>
  <si>
    <t>Comunidad Negra Afrocolombiana</t>
  </si>
  <si>
    <t>Acciones afirmativas; cartografia social; UPL; PIP;SPT</t>
  </si>
  <si>
    <t xml:space="preserve">Gestión: preparatoria taller de devolución UPL Cerros Orientales </t>
  </si>
  <si>
    <t xml:space="preserve">Recomendaciones e información general, Metodología, Roles y Contenido del PDD </t>
  </si>
  <si>
    <t>2417900/30</t>
  </si>
  <si>
    <t>Casa de la participación Bosa (Calle 22 No. 68C -51)</t>
  </si>
  <si>
    <t xml:space="preserve">Todo lo relacionado con las actuaciones de participación en la localidad de bosa. </t>
  </si>
  <si>
    <t xml:space="preserve">Reunión Consejo Distrital de Vendedores Informales, CTPD y Entidades Distritales. </t>
  </si>
  <si>
    <t>Apoyar como Secretaría Técnica del CTPD la reunión entre Consejo Distrital de Vendedores Informales, CTPD y Entidades Distritales, con el fin de generar un espacio de diálogo sobre los demos de cielos abiertos, ferias locales y vendedores informales en Transmilenio, temas de interés para el sector de vendedores informales.</t>
  </si>
  <si>
    <t>Carlos Hernández</t>
  </si>
  <si>
    <t>311 8726552</t>
  </si>
  <si>
    <t>sec.tecnicacdvi@gmail.com</t>
  </si>
  <si>
    <t>Avenida Carrera 30 # 25 - 90</t>
  </si>
  <si>
    <t xml:space="preserve">Se desarrolló un espacio de diálogo entre el Consejo Distrital de Vendedores Informales (CDVI), la SDG, DADEP, SDDE y SDP, con el fin de abordar temas de interés como lo son los Demos, Bogotá Cielo Abierto, Vendedores Informales en Transmilenio y Ferias Locales. Y se estableció crear una mesa de trabajo con las entidades asistentes. </t>
  </si>
  <si>
    <t xml:space="preserve">Acompañar la articulación de los esfuerzos institucionales de participación en la localidad de Barrios Unidos </t>
  </si>
  <si>
    <t>300 461 4328</t>
  </si>
  <si>
    <t>Rionegro</t>
  </si>
  <si>
    <t xml:space="preserve">
Carrera 57 #67 d 31 Piso 5o.</t>
  </si>
  <si>
    <t>Aprobación acta del mes de junio de 2024, socialización política pública de discapacidad y reporte de las reuniones preparatorias CLOPS.</t>
  </si>
  <si>
    <t>Presentación de Resultados del Diálogo Ciudadano sobre Directrices - AE Campin 7 de agosto</t>
  </si>
  <si>
    <t>Presentar y socializar las directrices desde lo público de la AE Campin 7 de agosto</t>
  </si>
  <si>
    <t xml:space="preserve">Villa Angel </t>
  </si>
  <si>
    <t>Distrito Joven - Av Cra 30 #63-17</t>
  </si>
  <si>
    <t>No se pudo desarrollar la actividad por "boikot" de dos ciudadanos principalmente</t>
  </si>
  <si>
    <t>AE Calle 72 - Jornada de devolución JAC Barrios Unidos</t>
  </si>
  <si>
    <t>Acompañar la presentación de los aportes ciudadanos de la AE Calle 72 a miembros de las JAC Barrios Unidos</t>
  </si>
  <si>
    <t>12 de octubre</t>
  </si>
  <si>
    <t xml:space="preserve">Carrera 52 # 74 - 61 </t>
  </si>
  <si>
    <t>Presentar a la comunidad el resultado de los aportes ciudadanos dentro de la formulación de la AE Calle 72.</t>
  </si>
  <si>
    <t>Mesa Directiva del CTPD</t>
  </si>
  <si>
    <t>Sesión Ordinaria de la mesa Directiva del CTPD</t>
  </si>
  <si>
    <t>Liliana de los Ángeles Urrego</t>
  </si>
  <si>
    <t>Aprobación del Plan de Acción del CTPD</t>
  </si>
  <si>
    <t>Gestión territorio - Activación actores JAC Eduardo Frey</t>
  </si>
  <si>
    <t>Fortalecer las relaciones con los actores estratégicos del territorio para articular los procesos de participación con el Sector Cultura, Arte y Patrimonio del JAC Eduardo Frey</t>
  </si>
  <si>
    <t>Carlos Santoyo</t>
  </si>
  <si>
    <t>3026990206</t>
  </si>
  <si>
    <t>carloshsantoyom@gmail.com</t>
  </si>
  <si>
    <t>Eduardo Frey</t>
  </si>
  <si>
    <t>Calle 32 sur # 29 A - 75 cede salón comunal jac Eduardo Frey</t>
  </si>
  <si>
    <t>Activación de actores, indicación de los procesos de devolución ciudadana sobre el PDD</t>
  </si>
  <si>
    <t>Capacitación práctica aplicación de la encuesta Sisben</t>
  </si>
  <si>
    <t xml:space="preserve">Ejercicio practico para el uso de los equipos tecnológicos que se van a entregar a los profesionales que van a realizar las encuestas de Sisben </t>
  </si>
  <si>
    <t>Alexi Ayala</t>
  </si>
  <si>
    <t>aayala@sdp.gov.co</t>
  </si>
  <si>
    <t>Super CADE CAD. Av Carrera 30 #25-90</t>
  </si>
  <si>
    <t>Capacitación realización encuesta Sisben para los contratistas de la oficina de participación</t>
  </si>
  <si>
    <t>Presencial - Articulación PIPs - Alcaldías Locales - Circular 04 de 2024 CONFIS</t>
  </si>
  <si>
    <t>Establecer acciones para la articulación de los PIP con las Alcaldías Locales y sus PDL.</t>
  </si>
  <si>
    <t>Camilo Barbosa</t>
  </si>
  <si>
    <t>cbarbosa@sdp.gov.co</t>
  </si>
  <si>
    <t>SDP - Piso 5  - Sala de juntas B</t>
  </si>
  <si>
    <t>Articulación de PIP con PDL</t>
  </si>
  <si>
    <t>Jimmy martinez</t>
  </si>
  <si>
    <t>3003358888</t>
  </si>
  <si>
    <t>Jaime.martinez@participaciónbogota.gov.co</t>
  </si>
  <si>
    <t>Casa De La Cultura Ciudad Bolívar</t>
  </si>
  <si>
    <t>Gestión: Sello de la Igualdad</t>
  </si>
  <si>
    <t xml:space="preserve">Revisar la gestión de la SDP en el Sello de la Igualdad,  una apuesta de la política pública de Mujer y Género. </t>
  </si>
  <si>
    <t xml:space="preserve">Diego Villamizar </t>
  </si>
  <si>
    <t>3157676037</t>
  </si>
  <si>
    <t>dvillamizar@sdp.gov.co</t>
  </si>
  <si>
    <t>No Especifica</t>
  </si>
  <si>
    <t>Av Carrera 30 #25-90 quinto piso</t>
  </si>
  <si>
    <t>Productos del Sello de la igualdad; Reconocimiento a liderezas en el Planeamiento de la ciudad.</t>
  </si>
  <si>
    <t>Gestion de actores estrategicos sector noroccidente UPL Tibabuyes - JAC</t>
  </si>
  <si>
    <t>Fortalecer las relaciones con los actores estratégicos del territorio para articular los procesos de participación.UPL Tibabuyes JAC</t>
  </si>
  <si>
    <t>Ruth Amelia Baquero</t>
  </si>
  <si>
    <t>3105700428</t>
  </si>
  <si>
    <t xml:space="preserve">Lisboa </t>
  </si>
  <si>
    <t>Salón comunal de Lisboa (Carrera 151 bis # 132A-05)</t>
  </si>
  <si>
    <t>Plan Distrital de Desarroll</t>
  </si>
  <si>
    <t xml:space="preserve"> Gestión con Actores Estratégicos Puente Aranda - CPL</t>
  </si>
  <si>
    <t>Fortalecer las relaciones con los actores estratégicos del territorio para articular los procesos de participación. Puente Aranda - CPL</t>
  </si>
  <si>
    <t>Luz Mariela Acuña</t>
  </si>
  <si>
    <t>3146841202</t>
  </si>
  <si>
    <t>lmarianabc2605@gmail.com</t>
  </si>
  <si>
    <t>La Alquería</t>
  </si>
  <si>
    <t>Barrio La Alquería, Puente Aranda</t>
  </si>
  <si>
    <t>Presentación de los resultados del PDD, invitación al espacio de devolución Centro Ampliado</t>
  </si>
  <si>
    <t>Devolución ciudadana étnica PDD - Comunidad Raizal</t>
  </si>
  <si>
    <t>alcaldía local de chapinero</t>
  </si>
  <si>
    <t>Resultados del proceso de participación de la comunidad Raizal en la formulación del PDD</t>
  </si>
  <si>
    <t>Devolución ciudadana construcción PDD - Sector Suroccidente</t>
  </si>
  <si>
    <t>Surocciedente</t>
  </si>
  <si>
    <t>Alcaldía Local de Kennedy auditorio P sala A</t>
  </si>
  <si>
    <t>Como leer el PDD, Ruta de Participación, fases, Victorias poblacionales, POT, UPL, PIP, metas estrategicas y producto.</t>
  </si>
  <si>
    <t>Devolución ciudadana construcción PDD - Cerros (Verjones)</t>
  </si>
  <si>
    <t>Elsa Rey</t>
  </si>
  <si>
    <t>311 4750276</t>
  </si>
  <si>
    <t>Finca La Esperanza, Lote El Campamento (sector Puente Roto) Vereda Verjón Bajo Chapinero</t>
  </si>
  <si>
    <t>Objetivos, programas y metas del Plan Distrital de Desarrollo.</t>
  </si>
  <si>
    <t>Devolución ciudadana construcción PDD - Cerros (San Luis)</t>
  </si>
  <si>
    <t xml:space="preserve">Martha Perez </t>
  </si>
  <si>
    <t>320 5781166</t>
  </si>
  <si>
    <t xml:space="preserve">Salón comunal San Luis Diagonal 96 a # 3a - 98 este </t>
  </si>
  <si>
    <t>PDD, ruta de la participación PDD, victorias poblacionales, POT, STP</t>
  </si>
  <si>
    <t>Gestión con actores estratégicos - JAL de Usme - UPL Usme Entrenubes y UPL Cuenca Tunjuelo</t>
  </si>
  <si>
    <t xml:space="preserve">Fortalecer las relaciones con los actores estratégicos del territorio para articular los procesos de participación y realizar pedagogía sobre el Plan Distrital de Desarrollo y demás instrumentos liderados por la SDP. </t>
  </si>
  <si>
    <t>Darwin</t>
  </si>
  <si>
    <t xml:space="preserve"> 3103050777</t>
  </si>
  <si>
    <t>noaplica@gmail.com</t>
  </si>
  <si>
    <t>Usmeña</t>
  </si>
  <si>
    <t xml:space="preserve">Alcaldía Local de Usme </t>
  </si>
  <si>
    <t>Notificación a la comunidad de la última fase del PDD (la devolución) del sector suroriental, formación de comités ciudadanos y notificación de las asambleas deliberativas.</t>
  </si>
  <si>
    <t>Gestión con Actores Estratégicos – Localidad Usaquén Comité Local de Envejecimiento  y Vejez de la Localidad de Usaquén (COLEV) UPL Usaquén</t>
  </si>
  <si>
    <t>Fortalecer las relaciones con los actores estratégicos del territorio para articular los procesos de participación con el Comité Local de Envejecimiento  y Vejez de la Localidad de Usaquén (COLEV).</t>
  </si>
  <si>
    <t>Lorena Hernandez Bonilla</t>
  </si>
  <si>
    <t>3174339388</t>
  </si>
  <si>
    <t>lhernandezb@sdis.gov.co</t>
  </si>
  <si>
    <t>Instalaciones del Centro de Desarrollo Comunitario Simón Bolívar- Servitá, ubicado en la Calle 165 # 7- 52, salón 201</t>
  </si>
  <si>
    <t>Pedagogía del PDD, explicación de las fases de planeación participativa de la formulación del PDD y descripción y manejo de cómo leer los documentos que componen el PDD</t>
  </si>
  <si>
    <t>Socializacion PIP JAL Usaquen</t>
  </si>
  <si>
    <t>Realizar pedagogía sobre POT-PIP Sector Norte a la JAL de Usaquén</t>
  </si>
  <si>
    <t>Edil Andrés Ardila</t>
  </si>
  <si>
    <t>3214169223</t>
  </si>
  <si>
    <t>andresfav2001@gmail.com</t>
  </si>
  <si>
    <t>Calle 123 # 7-51</t>
  </si>
  <si>
    <t xml:space="preserve">Socialización de los PIP de las UPL Usaquén, Toberín y Torca a la JAL de Usaquén </t>
  </si>
  <si>
    <t xml:space="preserve">Gestión: Preparatoria Subdirección de Planes de Desarrollo Local / Acción afirmativa Afrocolombiana. </t>
  </si>
  <si>
    <t>Realizar reunión de revisión de metodologia para la cartografia social con comunidad negra afrocolombiana</t>
  </si>
  <si>
    <t>Av Carrera 30 #25-90</t>
  </si>
  <si>
    <t>Planes de desarrollo local; articulo 218; localidad bosa</t>
  </si>
  <si>
    <t>CLIP extraordinaria Sumapaz</t>
  </si>
  <si>
    <t xml:space="preserve">Articulación institucional para la gestión de la participación en la localidad de Sumapaz. </t>
  </si>
  <si>
    <t xml:space="preserve">Cristian Villareal </t>
  </si>
  <si>
    <t>Plan de Desarrollo Local</t>
  </si>
  <si>
    <t>Reunion seguimiento Fundación 2050</t>
  </si>
  <si>
    <t xml:space="preserve">Realizar el eguimiento a las propuestas de participación presentadas que viene desarrollando la fundación </t>
  </si>
  <si>
    <t xml:space="preserve">SDP-OPDC piso 8 </t>
  </si>
  <si>
    <t xml:space="preserve">Seguimiento a las propuestas de la Fundación 2050 para los procesos estratégicos de la Oficina de Participación y Diálogo de Ciudad. </t>
  </si>
  <si>
    <t xml:space="preserve">Socialización PIP sector Noroccidente  - CPL Suba: Tibabuyes, Suba y Rincon de Suba </t>
  </si>
  <si>
    <t xml:space="preserve">Socializar las generalidades de los PIP al CPL de la localidad de suba. Sector Noroccidente y Norte </t>
  </si>
  <si>
    <t xml:space="preserve">Lucia Salazar	</t>
  </si>
  <si>
    <t xml:space="preserve">3044133110	</t>
  </si>
  <si>
    <t>blucia.salazar@gmail.com</t>
  </si>
  <si>
    <t xml:space="preserve">Casa de la Participación de Suba </t>
  </si>
  <si>
    <t>Entrega de compromisos respecto a las metas de PDD en Suba</t>
  </si>
  <si>
    <t xml:space="preserve">Socialización PIP sector Norte - CPL Suba </t>
  </si>
  <si>
    <t>Lucia Salazar</t>
  </si>
  <si>
    <t xml:space="preserve">Suba, Suba Rincón, Tibabuyes, Niza, Torca, Britalia   </t>
  </si>
  <si>
    <t>Generalidades PIP - zona norte UPL NIza,Torca, Britalia</t>
  </si>
  <si>
    <t>Comite intersectorial</t>
  </si>
  <si>
    <t>PDD Fase 4</t>
  </si>
  <si>
    <t xml:space="preserve">Monitoreo evidencias sectores </t>
  </si>
  <si>
    <t>Conformación del Comité Único de Participación Integral – CUPI en la UPL Teusaquillo.</t>
  </si>
  <si>
    <t>Plan Especial de Manejo y Protección - PEMP</t>
  </si>
  <si>
    <t>Recibir los avances en la conformación del Comité Único de Participación Integral – CUPI</t>
  </si>
  <si>
    <t>Monica Mercado Diaz</t>
  </si>
  <si>
    <t>monica.mercado@idpc.gov.co</t>
  </si>
  <si>
    <t>Carrera 9 # 8-30/42</t>
  </si>
  <si>
    <t xml:space="preserve">Reunión de articulación para coordinar con la OPDC y Gerencia de Instrumentos del IDPC el CUPI Teusaquillo propuesto.. </t>
  </si>
  <si>
    <t>Comité de pedagogía y formación Asambleas</t>
  </si>
  <si>
    <t>ajustes al cronograma conjunto, revisión de alcances de los equipos, productos y tiempos.</t>
  </si>
  <si>
    <t>Revisión del cronograma y planteamientos conjuntos Activación de equipos para los otros componentes  Planteamientos sobre el Comité de Expertas, Acuerdos y compromisos</t>
  </si>
  <si>
    <t xml:space="preserve">Gestión con actores estratégicos - CCPH (Consejo Consultivo de Propiedad Horizontal) localidad Usaquen </t>
  </si>
  <si>
    <t xml:space="preserve">Fortalecer las relaciones con los actores estratégicos del territorio para articular los procesos de participación y realizar pedagogía sobre el Plan Distrital de Desarrollo y demás instrumentos </t>
  </si>
  <si>
    <t xml:space="preserve">Martha Clemencia Medina </t>
  </si>
  <si>
    <t>3124789335</t>
  </si>
  <si>
    <t>La Pradera Norte</t>
  </si>
  <si>
    <t xml:space="preserve">Parque Pradera Norte </t>
  </si>
  <si>
    <t xml:space="preserve"> ABC del Plan Distrital de Desarrollo, Devolución PDD fase IV, Acuerdo 927  </t>
  </si>
  <si>
    <t>Dirección: Calle 26 No. 69-76 Edificio Elemento – Torre 3 – Tierra Piso 15 Oficina 1504</t>
  </si>
  <si>
    <t>Reglamentacion Agora Metropolitana</t>
  </si>
  <si>
    <t xml:space="preserve">CLIP Kennedy </t>
  </si>
  <si>
    <t>Acompañar la sesión de la CLIP, para la articulación de los esfuerzos institucionales de participación en la localidad de Kennedy.</t>
  </si>
  <si>
    <t>Mesas de concertación, cronograma, instalación y cierre; fase final del PDL.</t>
  </si>
  <si>
    <t>Gestión: Preparación evento Smart City</t>
  </si>
  <si>
    <t>Dar inicio a las preparaciones y propuestas para el evento de Smart Cities</t>
  </si>
  <si>
    <t>SDP-OPDC piso 8</t>
  </si>
  <si>
    <t xml:space="preserve">Preparación de propuestas y deberes por parte de los funcionarios de la SDP acerca del evento de Smart City </t>
  </si>
  <si>
    <t>Gestión: Reunión preparatoria cartografia social AF Comunidad Negra Afrocolombiana</t>
  </si>
  <si>
    <t xml:space="preserve">Reunión preparatoria para la metodología de la actividad de cartografía social con comunidad negra afrocolombiana </t>
  </si>
  <si>
    <t>Karen aponza</t>
  </si>
  <si>
    <t>3162259133</t>
  </si>
  <si>
    <t>karenaponza16@gmail.com</t>
  </si>
  <si>
    <t>Av carrera 30 #25-90 piso 8 sala A</t>
  </si>
  <si>
    <t xml:space="preserve">Acciones afirmativas; cartografía social; PIPs </t>
  </si>
  <si>
    <t>Gestión con actores estrategicos - UPL El Edén</t>
  </si>
  <si>
    <t>Fortalecer las relaciones con los actores estratégicos del territorio para articular los procesos de participación.UPL El Edén</t>
  </si>
  <si>
    <t>Calle 51 c sur # 81 f 15</t>
  </si>
  <si>
    <t>Plan Distrital de Desarrollo, Proyectos Integrales de Proximidad y Sistema de Participación Territorial</t>
  </si>
  <si>
    <t>Avances y Revisiones Meta Asamblea</t>
  </si>
  <si>
    <t>Presentar los avances de gestión a Felipe Rey para revisar ruta de trabajo y lineamientos para las siguientes etapas.</t>
  </si>
  <si>
    <t>Universidad Javeriana Cra 7 No 40 - 62</t>
  </si>
  <si>
    <t>Avances meta asambleas con Felipe Rey</t>
  </si>
  <si>
    <t>Activación de Actores estratégicos CPL Santafe</t>
  </si>
  <si>
    <t>Activación de actores estratégicos, socializar las próximas actividades de participación</t>
  </si>
  <si>
    <t>Las Nieves</t>
  </si>
  <si>
    <t>Alcaldía Local de Santafé - Cl. 21 #5 - 74</t>
  </si>
  <si>
    <t>Activación de actores estratégicos, invitación a las devoluciones del PDD y comentarios sobre PIP</t>
  </si>
  <si>
    <t>Gestión: Comité Meta Asambleas Deliberativas</t>
  </si>
  <si>
    <t>Avances de metas asamblea en el componente de comunicación y convocatoria</t>
  </si>
  <si>
    <t>Cra 9 No 60</t>
  </si>
  <si>
    <t xml:space="preserve">Seguimiento meta deliberativa comunicaciones </t>
  </si>
  <si>
    <t xml:space="preserve">Gestión: reunión intersectorial productos Políticas Públicas Étnicas </t>
  </si>
  <si>
    <t xml:space="preserve">Reunión preparatoria con la Dirección de Asuntos Étnicos sobre los productos de las políticas públicas étnicas a definir con las consultivas distritales </t>
  </si>
  <si>
    <t>Edwin.caicedo@gobiernobogota.gov.co</t>
  </si>
  <si>
    <t>Concertación de lineamientos para la definición de los productos de Políticas Públicas Étnicas</t>
  </si>
  <si>
    <t>Sesión Ordinaria Plenaria - CTPD</t>
  </si>
  <si>
    <t xml:space="preserve">Realizar el acompañamiento como Secretaría Técnica a la sesión ordinaria de la Plenaria del CTPD de acuerdo al orden del día.  </t>
  </si>
  <si>
    <t xml:space="preserve">Se dio inició al orden del día y se abordaron dos temas, el de inasistencias de los y las consejeras a las plenarias del CTPD y el tema de las recargas de datos a los consejeros. Se declara Plenaria Permanente. </t>
  </si>
  <si>
    <t xml:space="preserve"> Gestión con Actores Estratégicos- UPL Niza </t>
  </si>
  <si>
    <t>Fortalecer las relaciones con los actores estratégicos del territorio para articular los procesos de participación en la UPL Niza</t>
  </si>
  <si>
    <t xml:space="preserve">Alicia Mogolla </t>
  </si>
  <si>
    <t>upz25sannicolas@gmail.com</t>
  </si>
  <si>
    <t xml:space="preserve">JAC San Nicolas </t>
  </si>
  <si>
    <t>Sensibilización Plan de Desarrollo Distrital y conformación comité ciudadano SPT</t>
  </si>
  <si>
    <t>Gestión con Actores Estratégicos - UPL Tabora - CPL Sector Ambiente</t>
  </si>
  <si>
    <t>Fortalecer las relaciones con los actores estratégicos del territorio para articular los procesos de participación con el CPL Engativá, sector ambiente</t>
  </si>
  <si>
    <t>Flor Águeda Rodríguez</t>
  </si>
  <si>
    <t>3005787405</t>
  </si>
  <si>
    <t>floragueda@yahoo.com</t>
  </si>
  <si>
    <t>Sector ambiente - CPL</t>
  </si>
  <si>
    <t>Socialización ABC Plan Distrital de Desarrollo, específicamente las 37 metas producto del sector ambiente incluidas en PDD</t>
  </si>
  <si>
    <t>Comité asambleas deliberativas</t>
  </si>
  <si>
    <t xml:space="preserve">Seguimiento meta asambleas </t>
  </si>
  <si>
    <t>CAD SDP OPDC piso 8</t>
  </si>
  <si>
    <t xml:space="preserve">Ejecución de los cinco días previos a la meta asamblea </t>
  </si>
  <si>
    <t xml:space="preserve">Activación actores estratégicos: JAL Ciudad Bolívar (UPL Lucero, Arborizadora y Cuenca Tunjuelo) </t>
  </si>
  <si>
    <t>Daisy Alejandra Rodríguez</t>
  </si>
  <si>
    <t>3005490452</t>
  </si>
  <si>
    <t>jalciudadbolivar@gmail.com</t>
  </si>
  <si>
    <t xml:space="preserve">Alcaldía Local de Ciudad Bolívar </t>
  </si>
  <si>
    <t>Se hace la reactivación de actores con los ediles integrantes de la JAL de Ciudad Bolivar, quienes manifestaron su molestia frente a la construcción del Plan de Desarrollo Local</t>
  </si>
  <si>
    <t>Fundamentación para la Celebración de los 49 Años del Barrio Villa del Río y las Primeras Ferias y Fiestas Distritales en la UPL 18</t>
  </si>
  <si>
    <t>Realizar mapeo de actores.</t>
  </si>
  <si>
    <t>José Luis Blanco Avendaño</t>
  </si>
  <si>
    <t>3222205897</t>
  </si>
  <si>
    <t>jac1villadelrio@gmail.com</t>
  </si>
  <si>
    <t xml:space="preserve">Villa del río </t>
  </si>
  <si>
    <t>calle 55A sur 66 – 50</t>
  </si>
  <si>
    <t>Activación de actores - Corporación Nativos de Colombia</t>
  </si>
  <si>
    <t xml:space="preserve">
Socializar el Plan de Desarrollo Distrital, su ABC y convocar a devolución la zona centro ampliado.</t>
  </si>
  <si>
    <t>María Yolanda Figueroa</t>
  </si>
  <si>
    <t>3193660875</t>
  </si>
  <si>
    <t>corporativosunidos de colombia@gmail.com</t>
  </si>
  <si>
    <t>Avenida 68 No 75a - 50</t>
  </si>
  <si>
    <t>ABC del Plan de Desarrollo Distrital para fortalecer y articular procesos de participación con comunidades indígenas de la corporación Nativos Unidos de Colombia en Barrios Unidos</t>
  </si>
  <si>
    <t xml:space="preserve"> Mesa de Seguimiento Ágora Metropolitana RMBC</t>
  </si>
  <si>
    <t>Camilo Guevara</t>
  </si>
  <si>
    <t>3188169017</t>
  </si>
  <si>
    <t>aguevarah@sdp.gov.co</t>
  </si>
  <si>
    <t>Regional</t>
  </si>
  <si>
    <t>CTPD, piso 2</t>
  </si>
  <si>
    <t>Reglamentación ágora metropolitana, objetivo, alcance, roles</t>
  </si>
  <si>
    <t>Dar respuesta de una solicitud radicada por la corporación sobre el CONFIS 004 de 2024</t>
  </si>
  <si>
    <t>Viviana.edil2023@gmail.com</t>
  </si>
  <si>
    <t xml:space="preserve">Plan de Desarrollo Local; CONFIS 04 de 2024; Mesas de concertación locales </t>
  </si>
  <si>
    <t>Activación de actores con el Comité de participación comunitaria en salud COPACOS Barrios Unidos</t>
  </si>
  <si>
    <t>Activar nuevos actores de participación y socializar el Plan de Desarrollo Distrital, su ABC y convocar la devolución de la zona centro ampliado.</t>
  </si>
  <si>
    <t>Alfonso Jiménez Cuesta</t>
  </si>
  <si>
    <t>3138632761</t>
  </si>
  <si>
    <t>jimenezadvisors@hotmail.com</t>
  </si>
  <si>
    <t>Calle 74A No. 63 - 04</t>
  </si>
  <si>
    <t>Activacion de nuevos actores de participación en Barrios Unidos</t>
  </si>
  <si>
    <t>Acompañar la sesión de la CLIP, para la articulación de los esfuerzos institucionales de participación en la localidad de San Cristóbal.</t>
  </si>
  <si>
    <t>Andrés Felipe Rodríguez Verdugo</t>
  </si>
  <si>
    <t>3185272677</t>
  </si>
  <si>
    <t>arodriguez@participacionbogota.gov.co</t>
  </si>
  <si>
    <t>El Virrey, San Cristóbal</t>
  </si>
  <si>
    <t>https://teams.microsoft.com/v2/?meetingjoin=true</t>
  </si>
  <si>
    <t>Inicio de las mesas de concertación y finalización de contratos de los trabajadores de las entidades distritales.</t>
  </si>
  <si>
    <t xml:space="preserve">Gestión de actores: UPL Cerros Orientales - Sector Manantial </t>
  </si>
  <si>
    <t xml:space="preserve">Fortalecer las relaciones con los actores estratégicos del territorio para articular los procesos de participación con el sector de Manantial y los Triángulos </t>
  </si>
  <si>
    <t>ebuitrago@sdp.gov.co</t>
  </si>
  <si>
    <t xml:space="preserve">Manantial y EL triángulo </t>
  </si>
  <si>
    <t xml:space="preserve">Plan Distrital de Desarrollo, Plan de Ordenamiento Territorial y Unidades de Planeamiento Local </t>
  </si>
  <si>
    <t>Acción afirmativa Negra-afrocolombiana: Cartografía social Bosa</t>
  </si>
  <si>
    <t>Recorrido por puntos estratégicos a consideración de la comunidad en la Localidad de Bosa</t>
  </si>
  <si>
    <t xml:space="preserve">Lineamientos metodológicos construcción PDL; apuestas territoriales de la DPL en la Localidad de Bosa. </t>
  </si>
  <si>
    <t>Gestión: Temas Reservas POT UPL - Espacios de Participación</t>
  </si>
  <si>
    <t>Definir la ruta sobre la comunicación de las reservas generadas a través de POT y UPL, que tienen restricciones urbanísticas (art 379), de cara a los diferentes procesos con las comunidades.</t>
  </si>
  <si>
    <t>Dayanna Higuera</t>
  </si>
  <si>
    <t xml:space="preserve"> dhiguerac@sdp.gov.co</t>
  </si>
  <si>
    <t>Sala DPDC. piso 8</t>
  </si>
  <si>
    <t xml:space="preserve">Definir la ruta sobre la comunicación de las reservas generadas a través de POT y UPL, que tienen restricciones urbanísticas (art 379), de cara a los diferentes procesos con las comunidades, Reservas urbanísticas, PIP, POT, UPL. </t>
  </si>
  <si>
    <t xml:space="preserve">Elección del consejero que falta en el comité de convivencia, Plan de acción con presupuesto por parte de la UNAD, Diplomado UNAD, Concertación fecha devolución PDD-SDP, Propuesta tema inasistencias, participación D.C Radio, Comunicado CTPD Lideresa Social Alba Rocío Riaño Nossa y varios.
</t>
  </si>
  <si>
    <t>presidentectpd@gmail.com</t>
  </si>
  <si>
    <t>Se realizó la elección de los representantes del Comité de Convivencia, la UNAD presentó el Plan de acción con presupuesto, se solicitó enviar a las consejeras y consejeros la matriz y contrato de bolsa logística, se realizará una carta de inconformidad con respecto a que los valores presentados (por ejemplo en el tema de las recargas), no corresponden a los verdaderos valores del mercado y se deben optimizar los recursos.</t>
  </si>
  <si>
    <t xml:space="preserve">Gestión de actores estratégicos UPL Cerros orientales - Sector Altos de Serrezuela </t>
  </si>
  <si>
    <t xml:space="preserve">Fortalecer las relaciones con los actores estratégicos del territorio para articular los procesos de participación con Altos de Serrezuela </t>
  </si>
  <si>
    <t xml:space="preserve">Altos de Serrezuela- Centro Poblado </t>
  </si>
  <si>
    <t>Enlance de reunión</t>
  </si>
  <si>
    <t>Se trataron los siguientes temas: Plan de Acción Diplomado- UNAD, Concertación fecha devolución PDD-SDP, Propuesta tema inasistencias, D.C Radio, Comunicado CTPD Lideresa Social Alba Rocío Riaño Nossa</t>
  </si>
  <si>
    <t xml:space="preserve"> Devolución ciudadana construcción PDD - Subregión Occidente</t>
  </si>
  <si>
    <t>Mosquera</t>
  </si>
  <si>
    <t>Teatro Municipal de Mosquera
Cl. 3 #1-51, Mosquera.</t>
  </si>
  <si>
    <t>Plan de desarrollo distrital, objetivos y metas para la Región.</t>
  </si>
  <si>
    <t>Seguimiento evento Smart City</t>
  </si>
  <si>
    <t>Hacer seguimiento a las propuestas de los funcionarios para el evento Smart City Expo</t>
  </si>
  <si>
    <t xml:space="preserve">SDP - OPDC piso 8 </t>
  </si>
  <si>
    <t xml:space="preserve">Avances de las propuestas que serian presentadas para el evento de Smart City Expo, ambos haciendo parte de la presentación que se realizo para la reunión. </t>
  </si>
  <si>
    <t>Devolución ciudadana construcción PDD - Subregión Sur</t>
  </si>
  <si>
    <t>Soacha</t>
  </si>
  <si>
    <t>Carrera 7 # 11 - 83, Cámara de Comercio de Bogotá, Sede Soacha, Auditorio segundo piso.</t>
  </si>
  <si>
    <t xml:space="preserve">Plan Distrital de Desarrollo, región metropolitana </t>
  </si>
  <si>
    <t>Presentación Asambleas Ciudadanas Fundación 2050</t>
  </si>
  <si>
    <t>Formalizar propuesta de la Fundación 2050 para su presentación con el CTPD</t>
  </si>
  <si>
    <t>Se presento la propuesta de la Fundación 2050 y se asocio a las posibles propuestas que se han venido llevando acabo por parte de la oficina</t>
  </si>
  <si>
    <t>Comité Extraordinario Técnico de Diseño - Asambleas Deliberativas.</t>
  </si>
  <si>
    <t>Seguimiento a los a vances en el proceso de alistamiento de la Meta Asamblea Deliberativa en cuanto a: Estrategia de comunicaciones, propuesta de pedagogía y nivelación de asimetrías, convocatoria y carta de invitación y siguientes pasos en diseño de metodología de deliberación.</t>
  </si>
  <si>
    <t>Angela María Beltran</t>
  </si>
  <si>
    <t>3203164263</t>
  </si>
  <si>
    <t>coordinadorasamblea@fcorona.org</t>
  </si>
  <si>
    <t>Avances en el proceso de alistamiento de la Meta Asamblea Deliberativa: Estrategia de comunicaciones, propuesta de pedagogía y nivelación de asimetrías, convocatoria y carta de invitación y siguientes pasos en diseño de metodología de deliberación.</t>
  </si>
  <si>
    <t xml:space="preserve">Taller de Legalización Urbanística Villa Angél </t>
  </si>
  <si>
    <t xml:space="preserve">Informar y dialogar, mediante la pedagogía sobre el trámite de legalización de barrios y promover mediante esta, una aceptación y apropiación por parte de los habitantes en los asentamientos. </t>
  </si>
  <si>
    <t>sandram.montealgre.m@gmail.com</t>
  </si>
  <si>
    <t>Reglamentación legalización de barrio decreto 199 y decreto 555 del 2021 (POT)</t>
  </si>
  <si>
    <t>Devolución ciudadana construcción PDD - Subregión Norte</t>
  </si>
  <si>
    <t>Universidad de la Sabana, Chia, Edificio K, Auditorio 2.</t>
  </si>
  <si>
    <t>Retroalimentacion Regional PDD, Integración Regional en el PDD, Aportes de la Región al PDD</t>
  </si>
  <si>
    <t>Activación de actores - Mesa local de salud de Barrios unidos</t>
  </si>
  <si>
    <t>Activar nuevos actores de participacion en la UPL Barrios Unidos.</t>
  </si>
  <si>
    <t>3114684708</t>
  </si>
  <si>
    <t>GARincon@saludcapital.gov.co</t>
  </si>
  <si>
    <t>Rendicion de cuentas y devolución a actores locales y activacion de actores en Barrios Unidos</t>
  </si>
  <si>
    <t>CLIP Suba</t>
  </si>
  <si>
    <t xml:space="preserve">Socializar resultados de la participacion en la localidad y convocar a las instancias de participacion a la actividad de devolución </t>
  </si>
  <si>
    <t>Lina Elena Pineda Ramírez</t>
  </si>
  <si>
    <t>lpineda@participacionbogota.gov.co</t>
  </si>
  <si>
    <t>Casa de la participación Suba - Sala La Pileta (Cl. 147 #90-74)</t>
  </si>
  <si>
    <t>Presentación de resultados de participación para la formulación del PDD, iniciativa "Bogotá distribuye lo local" y Metodología de las mesas de concertación</t>
  </si>
  <si>
    <t>Gestión: reunión preparatoria acción afirmativa palenquera</t>
  </si>
  <si>
    <t>Realizar un minuto a minuto de la acción afirmativa a realizarse el 27 de julio con respecto a los elementos representativos del Patrimonio Cultural Inmaterial de la Humanidad palenqueros</t>
  </si>
  <si>
    <t>3148396805</t>
  </si>
  <si>
    <t xml:space="preserve">Detalles metodológicos de la acción afirmativa. Cubrimiento audiovisual del evento </t>
  </si>
  <si>
    <t>Devolución PDD al Consejo Territorial de Planeación Distrital (CTPD)</t>
  </si>
  <si>
    <t>Socializar con los(as) consejeros(as) del Consejo Territorial de Planeación Distrital (CTPD) los contenidos del Plan Distrital de Desarrollo, y resolver dudas respecto al Acuerdo 927 de 2024.</t>
  </si>
  <si>
    <t>Auditorio y espacio de trabajo del CTPD, segundo piso, CAD</t>
  </si>
  <si>
    <t>Devolución del Plan Distrital de Desarrollo al CTPD</t>
  </si>
  <si>
    <t xml:space="preserve">Socialización UPL Sector Occidente - JAL Engativá </t>
  </si>
  <si>
    <t xml:space="preserve">Socializar las generalidades de las Unidades de Planeamiento Local (UPL) ante la Junta Administradora Local de la localidad de Engativá.  </t>
  </si>
  <si>
    <t>Pablo Molano</t>
  </si>
  <si>
    <t>3184459890</t>
  </si>
  <si>
    <t>jalengativa@gmail.com</t>
  </si>
  <si>
    <t>JAL Engativá</t>
  </si>
  <si>
    <t>Georreferenciación UPL's de la Localidad de Engativá y sector occidente</t>
  </si>
  <si>
    <t xml:space="preserve">Socialización PIP Sector Occidente - JAL Engativá </t>
  </si>
  <si>
    <t>Socializar las generalidades de los PIP a la JAL de la localidad de Engativá - Sector Occidente</t>
  </si>
  <si>
    <t>Socialización Proyectos Integrales de Proximidad para sector occidente y aquellos priorizados para la localidad de Engativá</t>
  </si>
  <si>
    <t>Sesión Ordinaria de Consejo de Propiedad Horizontal</t>
  </si>
  <si>
    <t xml:space="preserve">Acompañar Institucionalmente la Sesión del Consejo de Propiedad Horizontal </t>
  </si>
  <si>
    <t xml:space="preserve">Polyana Hernandez </t>
  </si>
  <si>
    <t xml:space="preserve">no aplica </t>
  </si>
  <si>
    <t xml:space="preserve">phernandezparticipacion@bogota.gov.co </t>
  </si>
  <si>
    <t xml:space="preserve">IDPAC Calle 22 No 68 - 51 </t>
  </si>
  <si>
    <t xml:space="preserve">Modificación de la resolución 223 DE 2020, Tercer encuentro del Consejo de Propiedad Horizontal, Política Pública de Propiedad Horizontal </t>
  </si>
  <si>
    <t>Activación de actores JAC Villa Carmenza</t>
  </si>
  <si>
    <t>Activacion de actores</t>
  </si>
  <si>
    <t>Ana sofia</t>
  </si>
  <si>
    <t>3112911992</t>
  </si>
  <si>
    <t>La Felicidad</t>
  </si>
  <si>
    <t>Carrera 108 con 16j</t>
  </si>
  <si>
    <t>Temas PDD, POT y PIP</t>
  </si>
  <si>
    <t>Comisón POT - CTPD</t>
  </si>
  <si>
    <t>Sesión Ordinaria Comisión POT</t>
  </si>
  <si>
    <t>Se discuten 2 eventos a realizar por la comisión.  El primero se programa para el 31 de Agosto como un encuentro Ciudadano en la UNAD. El segundo para el 23 de NoviembreSe discuten 2 eventos a realizar por la comisión.  El primero se programa para el 31 de Agosto como un encuentro Ciudadano en la UNAD. El segundo para el 23 de Noviembre</t>
  </si>
  <si>
    <t>Devolución ciudadana construcción PDD - Sector Norte + Rurarlidad (Altos de Serrezuela)</t>
  </si>
  <si>
    <t xml:space="preserve">Clle 165 # 19b - 80 Salón comunal el Toberin </t>
  </si>
  <si>
    <t>Devolución del PDD y rendición de cuentas sobre los resultados de la participación en la formulación del Plan Distrital de Desarrollo y la Socialización de los PIP de Norte y Ruralidad</t>
  </si>
  <si>
    <t>Acción afirmativa: pedagogía cosmovisión palenquera y su Política Pública en Bogotá.</t>
  </si>
  <si>
    <t xml:space="preserve">Socialización de los elementos representativos del Patrimonio Cultural Inmaterial de la Humanidad del pueblo palenquero y su capitulo dentro de la Política Pública Negra, Afrocolombiana y Palenquera. </t>
  </si>
  <si>
    <t>Comunidad palenquera; san Basilio de palenque; unesco</t>
  </si>
  <si>
    <t>Activación de actores JAC villa Alsacia JAC La Felicidad y Frente de seguridad Hayuelos occidental</t>
  </si>
  <si>
    <t>Activar nuevos actores de participacion en la JAC Villa Alsacia y la felicidad</t>
  </si>
  <si>
    <t>Lennys</t>
  </si>
  <si>
    <t>3153929005</t>
  </si>
  <si>
    <t>Villa Alsacia</t>
  </si>
  <si>
    <t>Conjunto recidencial la sabana carrera 79 19-20</t>
  </si>
  <si>
    <t>Temas generalidades POT, PIP y PDD</t>
  </si>
  <si>
    <t>Devolución ciudadana construcción PDD - Sector Suroriente + Ruralidad (Manantial)</t>
  </si>
  <si>
    <t>Calle 49dbis Sur # 5 U - 26 Salón Comunal Molinos 1</t>
  </si>
  <si>
    <t>Se hace la devolución del Plan Distrital de Desarrrollo para la comunidad del sector sur oriental  San Cristobal, Rafael Uribe Uribe, Tunjuelito, Usme, Ciudad Bolivar.  Se cuenta con una mesa para contarle a la comunidad sobre las actuaciones estratégicas, POT y ruralidad.</t>
  </si>
  <si>
    <t>Mesa de trabajo - Medios Comunitarios y Alternativos</t>
  </si>
  <si>
    <t>Acompañamiento para la aclaración de dudas a la Mesa Distrital de Medios Comunitarios sobre el desarrollo de los Encuentros Ciudadanos para efectos de los planes de inversión para 2024</t>
  </si>
  <si>
    <t>Formador de opinión</t>
  </si>
  <si>
    <t>Rodrigo Acosta</t>
  </si>
  <si>
    <t>3005810164</t>
  </si>
  <si>
    <t>rodrigoacostab@gmail.com</t>
  </si>
  <si>
    <t>Dudas de la Mesa Distrital de Medios Comunitarios sobre el PDD y los presupuestos participativos</t>
  </si>
  <si>
    <t>Comité Técnico CTPD</t>
  </si>
  <si>
    <t>Revisar el avance del convenio interadministrativo UNAD</t>
  </si>
  <si>
    <t>Oficinas Piso 8 SuperCADE CAD SDP</t>
  </si>
  <si>
    <t>Prorróga del Convenio Interadministrativo</t>
  </si>
  <si>
    <t>CLIP Martires</t>
  </si>
  <si>
    <t xml:space="preserve">Acompañar la sesión de la CLIP, para la articulación de los esfuerzos institucionales de participación en la localidad de Los Martires.
</t>
  </si>
  <si>
    <t>Subdirección de la Secretaría Distrital de Integración Social (Diagonal 22 b Bis # 20 - 51)</t>
  </si>
  <si>
    <t>Los temas tratados fueron las mesas de concertación para el PLD - Plan Local de Desarrollo y las fechas en la que podrian llevarse acabo.</t>
  </si>
  <si>
    <t>Sesión Ordinaria Plenaria CTPD</t>
  </si>
  <si>
    <t>Elección del Delegado al RAP-E</t>
  </si>
  <si>
    <t>Activación actores UPL Salitre - JAC Normandia</t>
  </si>
  <si>
    <t>Activar nuevos actores de participacion en la UPL Salitre.</t>
  </si>
  <si>
    <t>Normandia</t>
  </si>
  <si>
    <t>Olímpica calle 53 con av boyaca</t>
  </si>
  <si>
    <t>Devolución PDD sector Occidente, POT y PIP UPL Salitre</t>
  </si>
  <si>
    <t>Reunión de articulación Fundación 2050 y SIS</t>
  </si>
  <si>
    <t>11:00</t>
  </si>
  <si>
    <t xml:space="preserve">Articular propuesta de la Fundación 2050 con la agenda de la SIS </t>
  </si>
  <si>
    <t>no aplica</t>
  </si>
  <si>
    <t>Se presento la propuesta de articulación entre la Fundación 2050 y la Subsecretaria de juventud en el tema de concejos de juventud.</t>
  </si>
  <si>
    <t>Devolución PDD población LGBTI</t>
  </si>
  <si>
    <t>Realizar evento para devolución de plan distrital de desarrollo a sector poblacional LGBTI</t>
  </si>
  <si>
    <t>Calle 44 # 14-60-Casa LGBTI Sebastián Romero Teusaquillo</t>
  </si>
  <si>
    <t>Se realizo dialogo ciudadano donde se presentaron que metas quedaron en el plan distrital de desarrollo para el sector poblacional LGBTI.</t>
  </si>
  <si>
    <t>Mesa de trabajo - Comité Ciudadano AEDA Fontibón</t>
  </si>
  <si>
    <t>Establecer el alcance del comité ciudadano frente a la AEDA Fontibón</t>
  </si>
  <si>
    <t>SDP - Piso 5 - Sala de juntas B</t>
  </si>
  <si>
    <t>Avances en la formulación de la AE y definiciones frente al alcance del Comité Ciudadano.</t>
  </si>
  <si>
    <t>Fortalecimiento de actores 21 encuestas SISBEN UPL 3 - Arborizadora</t>
  </si>
  <si>
    <t xml:space="preserve">Fortalecimiento de actores por UPL - Encuestas SISBÉN </t>
  </si>
  <si>
    <t>Vincular nuevos actores estratégicos a la planeación para la participación a través de la aplicación de las encuestas SISBEN</t>
  </si>
  <si>
    <t>Luis Fernando Barreto</t>
  </si>
  <si>
    <t>lbarreto@sdp.gov.co</t>
  </si>
  <si>
    <t>Se hace pedagogía sobre los procesos participativos a la ciudadanía encuestada y se les invita a vincularse al ejercicio de la participación en la Ciudad. La relación de asistentes se relaciona a los ciudadanos que se sumaron a participar.</t>
  </si>
  <si>
    <t>Fortalecimiento de actores 20 encuestas SISBEN UPL 4 - Lucero</t>
  </si>
  <si>
    <t>Fortalecimiento de actores 21 encuestas SISBEN UPL 5 - Usme Entrenubes</t>
  </si>
  <si>
    <t>Fortalecimiento de actores 20 encuestas SISBEN UPL 7 - Torca</t>
  </si>
  <si>
    <t>Fortalecimiento de actores 20 encuestas SISBEN UPL 8 - Britalia</t>
  </si>
  <si>
    <t>Fortalecimiento de actores 20 encuestas SISBEN UPL 9 - Suba</t>
  </si>
  <si>
    <t>Fortalecimiento de actores 20 encuestas SISBEN UPL 10 - Tibabuyes</t>
  </si>
  <si>
    <t>Fortalecimiento de actores 20 encuestas SISBEN UPL 11 - Engativá</t>
  </si>
  <si>
    <t>Fortalecimiento de actores 20 encuestas SISBEN UPL 12 - Fontibón</t>
  </si>
  <si>
    <t>Fortalecimiento de actores 20 encuestas SISBEN UPL 13 - Tintal</t>
  </si>
  <si>
    <t>Fortalecimiento de actores 21 encuestas SISBEN UPL 14 - Patio Bonito</t>
  </si>
  <si>
    <t>Fortalecimiento de actores 20 encuestas SISBEN UPL 15 - Porvenir</t>
  </si>
  <si>
    <t>Fortalecimiento de actores 20 encuestas SISBEN UPL 16 - Edén</t>
  </si>
  <si>
    <t>Fortalecimiento de actores 10 encuestas SISBEN UPL 17 - Bosa</t>
  </si>
  <si>
    <t>Fortalecimiento de actores 20 encuestas SISBEN UPL 18 - Kennedy</t>
  </si>
  <si>
    <t>Fortalecimiento de actores 21 encuestas SISBEN UPL 19 - Tunjuelito</t>
  </si>
  <si>
    <t>Fortalecimiento de actores 21 encuestas SISBEN UPL 20 - Rafel Uribe Uribe</t>
  </si>
  <si>
    <t>Fortalecimiento de actores 20 encuestas SISBEN UPL 21 - San Cristóbal</t>
  </si>
  <si>
    <t>Fortalecimiento de actores 20 encuestas SISBEN UPL 22 - Restrepo</t>
  </si>
  <si>
    <t>Fortalecimiento de actores 10 encuestas SISBEN UPL 23 - Centro Histórico</t>
  </si>
  <si>
    <t>Fortalecimiento de actores 21 encuestas SISBEN UPL 24 - Chapinero</t>
  </si>
  <si>
    <t>Fortalecimiento de actores 20 encuestas SISBEN UPL 25 - Usaquén</t>
  </si>
  <si>
    <t>Fortalecimiento de actores 13 encuestas SISBEN UPL 26 - Toberín</t>
  </si>
  <si>
    <t>Fortalecimiento de actores 26 encuestas SISBEN UPL 27 - Niza</t>
  </si>
  <si>
    <t>Fortalecimiento de actores 20 encuestas SISBEN UPL 28 - Ricón de Suba</t>
  </si>
  <si>
    <t>Ricón de Suba</t>
  </si>
  <si>
    <t>Fortalecimiento de actores 20 encuestas SISBEN UPL 29 - Tabora</t>
  </si>
  <si>
    <t>Fortalecimiento de actores 20 encuestas SISBEN UPL 30 - Salitre</t>
  </si>
  <si>
    <t>Fortalecimiento de actores 20 encuestas SISBEN UPL 31 - Puente Aranda</t>
  </si>
  <si>
    <t>Fortalecimiento de actores 13 encuestas SISBEN UPL 32 - Teusaquillo</t>
  </si>
  <si>
    <t>Fortalecimiento de actores 7 encuestas SISBEN UPL 33 - Barrios Unidos</t>
  </si>
  <si>
    <t>Revisar los avances en la elaboración del reglamento para la creación y puesta en funcionamiento del AGORA Metropolitana.</t>
  </si>
  <si>
    <t xml:space="preserve">Región Metropolitana de Bogotá- Cundinamarca </t>
  </si>
  <si>
    <t>(601) 3840687</t>
  </si>
  <si>
    <t>direccion@regionmetropolitana.gov.co</t>
  </si>
  <si>
    <t>Región metropolitana</t>
  </si>
  <si>
    <t>Avenida El Dorado # 69 - 76 piso 15</t>
  </si>
  <si>
    <t>Avances en la formulación del Acuerdo de Reglamentación. Se avanzó en definir las formas de participación que se habilitarán y los tipos de organización ciudadana que se convocarán por parte de los tres socios de la Región Metropolitana de Bogotá y Cundinamarca.</t>
  </si>
  <si>
    <t>Sesión JAL Kennedy - AE Chucua La Vaca</t>
  </si>
  <si>
    <t>Acompañar la socialización del estado de avance de la Actuación Estratégica Chucua La Vaca</t>
  </si>
  <si>
    <t>TV 78 K # 41A 04 SUR</t>
  </si>
  <si>
    <t>Estado de avance de la AE y generalidades de la Política de Protección a Moradores y Actividades Productivas.</t>
  </si>
  <si>
    <t>Devolución PDD de niños, niñas y adolescentes (SED)</t>
  </si>
  <si>
    <t>Acompañar a la SED en el proceso de Devolución con niñas, niños y adolescentes</t>
  </si>
  <si>
    <t xml:space="preserve">Secretaría Distrital de Educación </t>
  </si>
  <si>
    <t>Resultados Plan de Desarrollo Distrital.</t>
  </si>
  <si>
    <t xml:space="preserve">Meta Asamblea - Comité de Diseño </t>
  </si>
  <si>
    <t>Revisar avances del proceso de alistamiento de la Meta Asamblea Deliberativa en tres temas: 
1. Convocatoria, 2. Preparación evento de sorteo, 3. Propuesta de metodología deliberativa.</t>
  </si>
  <si>
    <t xml:space="preserve">Fundación Corona </t>
  </si>
  <si>
    <t xml:space="preserve">Alternativas de convocatoria ciudadana a la Meta Asamblea; propuesta de estrategia de metodología de deliberación; propuesta de evento para la realización del sorteo ciudadano. </t>
  </si>
  <si>
    <t xml:space="preserve">Secretaría de Educación del Distrito </t>
  </si>
  <si>
    <t>Devolución PDD.</t>
  </si>
  <si>
    <t xml:space="preserve">Mesa de Páramos - Ministerio de Ambiente </t>
  </si>
  <si>
    <t xml:space="preserve">Acompañar a la SPRS en la mesa de páramos liderada por el Ministerio de Ambiente </t>
  </si>
  <si>
    <t>Calle 37 Nº 8-40</t>
  </si>
  <si>
    <t xml:space="preserve">Antecedentes normativos de la delimitación de páramos, temas de dialogo que dicta la sentencia al respecto y fases de este proceso. </t>
  </si>
  <si>
    <t>Presentación AE Campín - 7 de agosto</t>
  </si>
  <si>
    <t>Socializar los resultados de los aportes de la comunidad y presentación de las directrices de lo público para la Actuación Estratégica (AE) Campin 7 de agosto.</t>
  </si>
  <si>
    <t>Luisa Romero</t>
  </si>
  <si>
    <t>ASOPARTES</t>
  </si>
  <si>
    <t>3134228647</t>
  </si>
  <si>
    <t>gerencia@asopartes.com</t>
  </si>
  <si>
    <t>7 de agosto</t>
  </si>
  <si>
    <t>Calle 63f #26-05</t>
  </si>
  <si>
    <t>Se socializó la vocación de la AE Campin - 7 de Agosto. Oportunidades y Retos de la AE Campin - 7 de Agosto. Se explicó cuales fueron los aportes ciudadanos en la AE Campin - 7 de Agosto. Responder dudas y preguntas de los asistentes.</t>
  </si>
  <si>
    <t>Revisión de Memorando de Entendimiento SDP-EX-FC</t>
  </si>
  <si>
    <t>Culminar el proceso de proyección del Memorando de Entendimiento para el desarrollo de las Asambleas Deliberativas, entre la Secretaría Distrital de Planeación, la Fundación Corona y el Extituto de Política Abierta.</t>
  </si>
  <si>
    <t xml:space="preserve">Fundación Corona - Angela María Beltrán </t>
  </si>
  <si>
    <t>Definición de acuerdos para un Memorando de Entendimiento entre la Secretaría de Planeación, la Fundación Corona y el Extituto de Política Abierta, con el cual crear un marco de colaboración para el desarrollo de las asambleas deliberativas.</t>
  </si>
  <si>
    <t>Estrategia de Convocatoria Meta Asambleas Deliberativas</t>
  </si>
  <si>
    <t>Formular una propuesta de estrategia de convocatoria para la Meta Asamblea Deliberativa.</t>
  </si>
  <si>
    <t>Fundación Corona</t>
  </si>
  <si>
    <t>coordinadora@fcorona.org</t>
  </si>
  <si>
    <t>Se acordó lo siguiente: Para el desarrollo de la convocatoria se contará con tres frentes de invitación a la ciudadanía para su postulación al sorteo de selección de participantes a la Meta Asamblea:  a). Carta de invitación por correo certificado a los seis mil destinatarios. b). Call Center para invitación y seguimiento vía telefónica a los seis mil destinatarios. c). Inscripción en territorio mediante recorridos presenciales por lugares estratégicos de las 20 localidades como plazas, universidades, centros comerciales, parques, etc. Todos los frentes de convocatoria aplicarán los criterios de representatividad del modelo estadístico definido.</t>
  </si>
  <si>
    <t>Devolución PDD control social.</t>
  </si>
  <si>
    <t xml:space="preserve">Comisión POT - CTPD </t>
  </si>
  <si>
    <t>Atender la comisión ordinaria POT.</t>
  </si>
  <si>
    <t xml:space="preserve">Claudia Solorzano </t>
  </si>
  <si>
    <t>321 2029774</t>
  </si>
  <si>
    <t xml:space="preserve">Coordinación sobre el evento para el 31 de agosto (urbano) del encuentro urbano pedagogía con enfoque en temas relacionados al POT. </t>
  </si>
  <si>
    <t>Comisión PDD - CTPD</t>
  </si>
  <si>
    <t>Planear y organizar la actividad planteada en el plan de acción con la UNAD.</t>
  </si>
  <si>
    <t>Definición de la agenda y metodología de la actividad del Plan de Acción del PDD, a desarrollar mediante el apoyo logístico de la UNAD.</t>
  </si>
  <si>
    <t xml:space="preserve">Comisión Poblacional - CTPD </t>
  </si>
  <si>
    <t>Realizar la preparatoria del encuentro de cuidadores-as, para el próximo 23 de agosto.</t>
  </si>
  <si>
    <t xml:space="preserve">Jaqueline Hernandez </t>
  </si>
  <si>
    <t>Metodología y logística del encuentro de cuidadores-as para el próximo 23 de agosto.</t>
  </si>
  <si>
    <t>Acompañar la articulación de acciones y estrategias, en esta oportunidad relacionadas con la política pública sobre el fenómeno de habitabilidad en calle.</t>
  </si>
  <si>
    <t>Mario Fernández</t>
  </si>
  <si>
    <t xml:space="preserve">José Oswaldo Cárdenas Ávila </t>
  </si>
  <si>
    <t>3222718090</t>
  </si>
  <si>
    <t>Localidad de Usme</t>
  </si>
  <si>
    <t>Alcaldía Local de Usme - Cl. 137 Sur #3a-44</t>
  </si>
  <si>
    <t>Política pública sobre el fenómeno de habitabilidad en calle.</t>
  </si>
  <si>
    <t>Devolución Plan Distrital de Desarrollo al CCLBGTI</t>
  </si>
  <si>
    <t>15:00</t>
  </si>
  <si>
    <t>Realizar la socialización de  Planes y programas aprobados en el Plan Distrital de Desarrollo 2024-2028 para personas de los sectores sociales LGBTI.</t>
  </si>
  <si>
    <t xml:space="preserve">Renata Rengifo Moyano </t>
  </si>
  <si>
    <t xml:space="preserve">Freddy Rincon </t>
  </si>
  <si>
    <t>3006574555</t>
  </si>
  <si>
    <t>frincon@sdp.gov.co</t>
  </si>
  <si>
    <t>Secretaría Distrital de Planeación Kra 30 # 25 – 90</t>
  </si>
  <si>
    <t>segunda sesión del Consejo Consultivo LGBTI del año 2024, con el objetivo de tratar el tema de Avances del plan de acción de la PPLGBTI 2024 y Planes y programas aprobados en el Plan Distrital de Desarrollo 2024-2028 para personas de los sectores sociales LGBTI.</t>
  </si>
  <si>
    <t>Conversatorio sobre la importancia de la Comisión de Desarrollo Regional: Un Café y un diálogo_CTPD</t>
  </si>
  <si>
    <t>Apoyar el conversatorio sobre la importancia de la Comisión de Desarrollo Regional: Un Café y un diálogo.</t>
  </si>
  <si>
    <t>Consejera María Cristina Yela</t>
  </si>
  <si>
    <t>Universidad Nacional Abierta y a Distancia - UNAD CIl 14 sur # 14- 23 Barrio Restrepo</t>
  </si>
  <si>
    <t>Apuestas y oportunidades de mejora en la comisión regional del CTPD.</t>
  </si>
  <si>
    <t xml:space="preserve">Gestión: Reunión presencial Consejera Claudia Solorzano - CTPD </t>
  </si>
  <si>
    <t xml:space="preserve">Atender la solicitud de la Consejera en relación a la solicitud de Bolsa Logística </t>
  </si>
  <si>
    <t xml:space="preserve">SuperCade Cra 30 #25-90 </t>
  </si>
  <si>
    <t>Cambio de Plataforma para conexión, plan de acción del CTPD y bolsa logística.</t>
  </si>
  <si>
    <t xml:space="preserve">Comisión de Participación - CTPD </t>
  </si>
  <si>
    <t xml:space="preserve">Dick Darío Diaz </t>
  </si>
  <si>
    <t>3178255261</t>
  </si>
  <si>
    <t>Capacitación en LegalBog.</t>
  </si>
  <si>
    <t>Reunión evento Smart City Expo</t>
  </si>
  <si>
    <t>Realizar seguimiento a la propuesta de presentación del evento de Smart City Expo.</t>
  </si>
  <si>
    <t>Se presento la propuesta de stand para el Smart City Expo y se hicieron los respectivos ajustes. Además, se discutío la logística del evento.</t>
  </si>
  <si>
    <t>Gestión: Bolsa logística con la subsecretaria - CTPD</t>
  </si>
  <si>
    <t xml:space="preserve">Socializar los temas de bolsa logística a la Subsecretaria y al CTPD. </t>
  </si>
  <si>
    <t xml:space="preserve">Bolsa logística y anexo técnico. </t>
  </si>
  <si>
    <t xml:space="preserve">Gestión: Reunión preparatoria para reunión con indígenas </t>
  </si>
  <si>
    <t>Realizar reunión preparatoria para el encuentro con los indígenas el día lunes 27 de agosto en el marco de las políticas públicas étnicas.</t>
  </si>
  <si>
    <t xml:space="preserve">Oficina de Participación y Diálogo en Ciudad en el Piso 8 </t>
  </si>
  <si>
    <t xml:space="preserve">Productos de política pública del Conpes 37 </t>
  </si>
  <si>
    <t xml:space="preserve">Sesión ordinaria Mesa directiva - CTPD </t>
  </si>
  <si>
    <t>Dar cumplimiento a lo establecido en el reglamento interno del CTPD con relación al desarrollo de la reunión de la mesa directiva de esta instancia una vez al mes.</t>
  </si>
  <si>
    <t xml:space="preserve">Liliana Urrego </t>
  </si>
  <si>
    <t>310 8148740</t>
  </si>
  <si>
    <t>Información de la página web y el cambio en la plataforma de conexión para el CTPD, y también en la elección de consejeros y consejeras delegados a las instancias de participación en las cuales el CTPD no tiene delegado aún.</t>
  </si>
  <si>
    <t xml:space="preserve">Segundo encuentro de cuidadores y cuidadoras - CTPD </t>
  </si>
  <si>
    <t>Acompañar y apoyar la comisión poblacional quien lidera el  2° Encuentro de Cuidadores - as 2024.</t>
  </si>
  <si>
    <t xml:space="preserve">Nicolas Amaya </t>
  </si>
  <si>
    <t>3195730977</t>
  </si>
  <si>
    <t>Cll. 14 sur # 14 - 23</t>
  </si>
  <si>
    <t>Generalidades relacionadas a temas del cuidado, preocupaciones sobre implementación del Sistema del Cuidado en el PDD.</t>
  </si>
  <si>
    <t>Comisión ordinaria de Participación.</t>
  </si>
  <si>
    <t>Foro de la comisión de participación del CTPD.</t>
  </si>
  <si>
    <t>Acompañar la articulacion de acciones y estragtegias de participacion a nivel local.</t>
  </si>
  <si>
    <t>Viviana Buriticá Peláez</t>
  </si>
  <si>
    <t>dmutiz@participacoionbogota.gov.co</t>
  </si>
  <si>
    <t>Samper mendoza</t>
  </si>
  <si>
    <t xml:space="preserve"> Subdirección de la Secretaría Distrital de Integración Social Mártires- Samper Mendoza</t>
  </si>
  <si>
    <t xml:space="preserve">Incio de la preinscripción para el curso virtual de presupuestos participativos (22-31 de agosto. Inicio 5 de septiembre) - Socialización IDPAC estratégia pactos. </t>
  </si>
  <si>
    <t>Mesa de trabajo SDP - SDMujer devolución PDD Consejo Consultivo</t>
  </si>
  <si>
    <t>Apoyar técnicamente a la Secretaría Distrital de la Mujer en el proceso de Devolución del Plan Distrital de Desarrollo con el Consejo Consultivo de Mujeres-CCM y demás mujeres.</t>
  </si>
  <si>
    <t xml:space="preserve">Nathalia Guzmán Martínez </t>
  </si>
  <si>
    <t>Denis Morales</t>
  </si>
  <si>
    <t>311 4546690</t>
  </si>
  <si>
    <t>Plan Distrital Desarrollo.</t>
  </si>
  <si>
    <t xml:space="preserve">Sesión permanente de la Mesa Directiva - CTPD </t>
  </si>
  <si>
    <t>Continuar con el orden del día aprobado en mesa directiva del 22 de agosto de 2024.</t>
  </si>
  <si>
    <t xml:space="preserve">Liliana Urrego Navarro </t>
  </si>
  <si>
    <t>Informe de consolidado de excusas. Definir el evento Congreso De Mujeres Consejeras Territoriales.</t>
  </si>
  <si>
    <t>Preparación encuentro pedagógico agosto 31, metodología, asignación de roles. (Se adjunta documento con la metodología).</t>
  </si>
  <si>
    <t xml:space="preserve">Julián Camilo Taylor </t>
  </si>
  <si>
    <t xml:space="preserve">Angela Patricia Manrique </t>
  </si>
  <si>
    <t>Preparatoria evento pedagógico sobre POT el 31 de agosto.</t>
  </si>
  <si>
    <t>Capacitación Asambleas Deliberativas</t>
  </si>
  <si>
    <t xml:space="preserve">Capacitación en la convocatoria de las asambleas deliberativas. </t>
  </si>
  <si>
    <t>Fredy Alexander Martínez</t>
  </si>
  <si>
    <t>Meta asambleas deliberativas, criterios de selección, modalidades de convocatoria</t>
  </si>
  <si>
    <t xml:space="preserve">Socialización Directrices AE Campín - 7 de Agosto/ Gremio Automotriz </t>
  </si>
  <si>
    <t>Acompañar la socialización al gremio automotriz de las directrices de formulación desde mi público de la AE Campin 7 de Agosto.</t>
  </si>
  <si>
    <t>3105663416</t>
  </si>
  <si>
    <t>Juan.concreta@gmail.com</t>
  </si>
  <si>
    <t xml:space="preserve">7 de Agosto </t>
  </si>
  <si>
    <t>Calle 68 #28B - 20 Taller Hyndautos</t>
  </si>
  <si>
    <t>Temas álgidos en relación a AE Campin y 7 de Agosto, que son las AE, que objetivo tiene una AE en Bogota, objetivos principales de la AE Campin y 7 de Agosto</t>
  </si>
  <si>
    <t>Demolab- Veeduría Distrital: Taller sobre iniciativas de innovación en la participación Distrital.</t>
  </si>
  <si>
    <t>Compartir el reto de innovación liderado por el Laboratorio de Ciudad y la experiencia de Asambleas Deliberativas como apuestas de innovación para la participación ciudadana en el Distrito Capital.</t>
  </si>
  <si>
    <t>María Del Pilar Barreto</t>
  </si>
  <si>
    <t>Casa de Control Social de la Veeduría Ciudadana</t>
  </si>
  <si>
    <t>Presentación de estrategias de innovación en la participación por parte de diversos sectores de la administración distrital.</t>
  </si>
  <si>
    <t>Seguimiento Smart City Expo</t>
  </si>
  <si>
    <t>Realizar seguimiento a las actividades que se van a presentar en el evento Smart City Expo.</t>
  </si>
  <si>
    <t>Se realizó el seguimiento de los avances para el evento de Smart City Expo y se delegaron las actividades para las próximas 2 semanas.</t>
  </si>
  <si>
    <t>Presentación de Resultados del Diálogo Ciudadano sobre Directrices de la AE Campin 7 de Agosto</t>
  </si>
  <si>
    <t>Presentar los Resultados del Diálogo Ciudadano sobre Directrices de la AE Campin 7 de Agosto.</t>
  </si>
  <si>
    <t>Martha Milena Avila De la Hoz</t>
  </si>
  <si>
    <t>Presentación de las directrices para la formulación de AE Campin 7 de agosto</t>
  </si>
  <si>
    <t>Brindar acompañamiento como secretaria técnica al CTPD</t>
  </si>
  <si>
    <t>3004164516</t>
  </si>
  <si>
    <t>Elección de la representante para Consejo Consultivo de Mujeres, siendo la Consejera Lilia Avella.</t>
  </si>
  <si>
    <t>Convocatoria Territorial Meta Asamblea - Santa Fe</t>
  </si>
  <si>
    <t xml:space="preserve">Desarrollar el proceso de convocatoria ciudadana a la Meta Asamblea Deliberativa 2024 en la localidad de Santa Fe. </t>
  </si>
  <si>
    <t xml:space="preserve">William Arturo González </t>
  </si>
  <si>
    <t>Recorrido en la localidad de Santa Fe en los siguientes lugares: Plaza de Bolívar, Plazoleta Rosario, Centro Gabriel García Márquez, City U.</t>
  </si>
  <si>
    <t>Presentación "El camino de la planeación participativa en Bogotá"</t>
  </si>
  <si>
    <t>Presentar en una clase como invitados, el camino de la planeación participativa desde la SDP.</t>
  </si>
  <si>
    <t>Universidad de Los Andes</t>
  </si>
  <si>
    <t>Se presento la PTT que resume el camino de planeación participativa en la SDP.</t>
  </si>
  <si>
    <t xml:space="preserve">Convocatoria Territorial Meta Asamblea - Teusaquillo </t>
  </si>
  <si>
    <t>Desarrollar el proceso de convocatoria ciudadana a la Meta Asamblea Deliberativa 2024 en la localidad de Teusaquillo</t>
  </si>
  <si>
    <t>Jorge Eduardo Bermúdez</t>
  </si>
  <si>
    <t>Natalia Gómez Meza</t>
  </si>
  <si>
    <t>Recorrido en la localidad de Teusaquillo en el siguiente lugar: Park Way.</t>
  </si>
  <si>
    <t>Convocatoria territorial meta asamblea - Teusquillo</t>
  </si>
  <si>
    <t>Coordinación de temas para poder realizar evento de la Comisión según el Plan de Acción.</t>
  </si>
  <si>
    <t>Dick Darío Díaz</t>
  </si>
  <si>
    <t>consejoterritorialdebogota@sdp.gov.co</t>
  </si>
  <si>
    <t xml:space="preserve">Se trataron temas de POT y UPL </t>
  </si>
  <si>
    <t>Convocatoria Territorial Meta Asamblea - Chapinero</t>
  </si>
  <si>
    <t>Desarrollar el proceso de convocatoria ciudadana a la Meta Asamblea Deliberativa 2024 en la localidad de Chapinero.</t>
  </si>
  <si>
    <t>Nancy Stella Villa</t>
  </si>
  <si>
    <t>Recorrido en la localidad de Chapinero en los siguientes lugares: Parque de los Hippies, Iglesia de Lourdes, Carrera 11, Centro Andino.</t>
  </si>
  <si>
    <t>Convocatoria meta asamblea - Chapinero</t>
  </si>
  <si>
    <t>Convocatoria Territorial Meta Asamblea - Usaquén</t>
  </si>
  <si>
    <t>Desarrollar el proceso de convocatoria ciudadana a la Meta Asamblea Deliberativa 2024 en la localidad de Usaquén.</t>
  </si>
  <si>
    <t>Martín René Perdomo</t>
  </si>
  <si>
    <t>Angie Pérez Sandoval</t>
  </si>
  <si>
    <t>David Julián Sepúlveda</t>
  </si>
  <si>
    <t>Recorrido en la localidad de Usaquén en los siguientes lugares: Verbenal y Lijacá.</t>
  </si>
  <si>
    <t xml:space="preserve">Evento comisión de POT - CTPD </t>
  </si>
  <si>
    <t>Acompañar el Primer Encuentro “Habitar el territorio, conversemos sobre el Plan de Ordenamiento Territorial y su impacto en la vida cotidiana”.</t>
  </si>
  <si>
    <t xml:space="preserve">Mateo López Narváez </t>
  </si>
  <si>
    <t xml:space="preserve">Angela Manrique </t>
  </si>
  <si>
    <t>320 2547806</t>
  </si>
  <si>
    <t>Cl. 14 Sur # 14-23</t>
  </si>
  <si>
    <t xml:space="preserve">Comvocatoria meta asamblea </t>
  </si>
  <si>
    <t>Convocatoria Territorial Meta Asamblea - Usaquén 2</t>
  </si>
  <si>
    <t>Desarrollar el proceso de convocatoria ciudadana a la Meta Asamblea Deliberativa 2024 en la localidad de Usaquén 2.</t>
  </si>
  <si>
    <t>Recorrido en la localidad de Usaquén 2 en el siguiente lugar: Unicentro</t>
  </si>
  <si>
    <t>Convocatoria Territorial Meta Asamblea - Suba</t>
  </si>
  <si>
    <t>Desarrollar el proceso de convocatoria ciudadana a la Meta Asamblea Deliberativa 2024 en la localidad de Suba.</t>
  </si>
  <si>
    <t>Recorrido en la localidad de Suba en el siguiente lugar: Centro Comercial Santa Fe.</t>
  </si>
  <si>
    <t>Convocatoria Territorial Meta Asamblea - Suba 2</t>
  </si>
  <si>
    <t>Desarrollar el proceso de convocatoria ciudadana a la Meta Asamblea Deliberativa 2024 en la localidad de Suba 2.</t>
  </si>
  <si>
    <t>Juan Pablo Saiz</t>
  </si>
  <si>
    <t>Recorrido en la localidad de Suba 2 en los siguientes lugares: Centro Suba, Suba Pueblo</t>
  </si>
  <si>
    <t>Realizar seguimiento a los avances para el evento Smart City Expo.</t>
  </si>
  <si>
    <t>Se designaron tareas para las respectivas áreas en relacionado al evento.</t>
  </si>
  <si>
    <t>Gestión: Estrategia para socialización del decreto de AEDA</t>
  </si>
  <si>
    <t>Definir las acciones que permitan la socialización del decreto de AEDA.</t>
  </si>
  <si>
    <t>Super CADE piso 8 - Oficina de Participación y Diálogo de Ciudad</t>
  </si>
  <si>
    <t>Estrategia de comunicación y socialización del decreto AEDA en Engativá con RenoBo</t>
  </si>
  <si>
    <t>Convocatoria Territorial Meta Asamblea - Engativá</t>
  </si>
  <si>
    <t>Desarrollar el proceso de convocatoria ciudadana a la Meta Asamblea Deliberativa 2024 en la localidad de Engativá.</t>
  </si>
  <si>
    <t>Recorrido en la localidad de Engativá en los siguientes lugares: Villas de Granada, Portal 80 y Ciudadela Colsubsidio</t>
  </si>
  <si>
    <t>Convocatoria Meta asamblea</t>
  </si>
  <si>
    <t>Sesión del Comité Intersectorial del PDD</t>
  </si>
  <si>
    <t>Realizar seguimiento de las actividades de devolución realizada por los sectores.</t>
  </si>
  <si>
    <t>Se realizó la actualización de los enlaces con su respectivo sector y se dialogaron los pasos a seguir para el mes de septiembre.</t>
  </si>
  <si>
    <t xml:space="preserve">Continuar con el orden del día aprobado en la plenaria ordinaria del pasado jueves 29 de agosto de 2024 </t>
  </si>
  <si>
    <t xml:space="preserve">Enlace de reunión </t>
  </si>
  <si>
    <t>Elección de consejeros representantes a espacios como el consejo distrital de paz y de cambio climatico</t>
  </si>
  <si>
    <t>Convocatoria Territorial Meta Asamblea - Engativá 2</t>
  </si>
  <si>
    <t>Desarrollar el proceso de convocatoria ciudadana a la Meta Asamblea Deliberativa 2024 en la localidad de Engativá 2.</t>
  </si>
  <si>
    <t>Recorrido en la localidad de Engativá 2 en los siguientes lugares: Alcaldía Local, Santa María del Lago, Calle 72</t>
  </si>
  <si>
    <t>Pilotaje Taller PP pobreza</t>
  </si>
  <si>
    <t>La OPDC funge como invitado para servir de participante en el testeo que realizará la Dirección de Planeación del Desarrollo Social.</t>
  </si>
  <si>
    <t xml:space="preserve">Dirección de Planeación del Desarrollo Social </t>
  </si>
  <si>
    <t>3112494342</t>
  </si>
  <si>
    <t>yonatra@sdp.gov.co</t>
  </si>
  <si>
    <t xml:space="preserve">Pilotaje de taller de pp pobreza </t>
  </si>
  <si>
    <t>Reunión con Región Metropolitana</t>
  </si>
  <si>
    <t>Presentar los criterios de selección de la Meta Asamblea de Bogotá</t>
  </si>
  <si>
    <t>https://meet.google.com/whd-btge-apj</t>
  </si>
  <si>
    <t>Presentación de la estrategia de convocatoria de la Asamblea Deliberativa Bogotá</t>
  </si>
  <si>
    <t>Gestión: Mesa de trabajo SDP - SDMujer devolución PDD Consejo Consultivo</t>
  </si>
  <si>
    <t>11:00 am</t>
  </si>
  <si>
    <t>Apoyar técnicamente a la Secretaría Distrital de la Mujer en el proceso de Devolución del Plan Distrital de Desarrollo con organizaciones de mujeres y el Consejo Consultivo de Mujeres-CCM.</t>
  </si>
  <si>
    <t>Smart City Innovator Awards</t>
  </si>
  <si>
    <t>Exponer desde la Oficina de Participación y Diálogo de Ciudad en el Smart City Innovator Awards 2024 la Estrategia de Participación en el Plan Distrital de Desarrollo 2024-2027 “Bogotá Camina Segura”.</t>
  </si>
  <si>
    <t>ADICOM - cartagena</t>
  </si>
  <si>
    <t>Se presento ante el jurado de Smart City Innovator Awards la Estrategia de Participación para el PDD "Bogotá Camina Segura".</t>
  </si>
  <si>
    <t xml:space="preserve">Julieth Montoya </t>
  </si>
  <si>
    <t>324 6343206</t>
  </si>
  <si>
    <t>jrmontoya@participacionbogota.gov.co</t>
  </si>
  <si>
    <t xml:space="preserve">Pendiente por ser enviado. </t>
  </si>
  <si>
    <t>Fortalecimiento a secretarias técnicas. Socialización Vereda Viva Sumapaz – SCRD. Socialización de la iniciativa del  Consejo Consultivo Local  de Niños, Niñas y Adolescentes de Sumapaz – SDIS</t>
  </si>
  <si>
    <t>Jornada Asambleas deliberativas</t>
  </si>
  <si>
    <t>Seguimiento de asambleas deliberativas</t>
  </si>
  <si>
    <t>Seguimiento asambleas deliberativas</t>
  </si>
  <si>
    <t>Acompañar la articulación de los esfuerzos institucionales de participación en la localidad de Rafael Uribe Uribe.</t>
  </si>
  <si>
    <t>3102558764</t>
  </si>
  <si>
    <t>Alxander.castillo@gobiernobogota.gov.co</t>
  </si>
  <si>
    <t>Carrera 13B # 31G – 40 Sur</t>
  </si>
  <si>
    <t>Seguimiento al plan de acción de la Clip, Presupuestos participativos.</t>
  </si>
  <si>
    <t>Realizar seguimiento a la propuesta de Stand hecha por el operador.</t>
  </si>
  <si>
    <t>Se recibió y revisó la cotización propuesta por el operador en cuento al stand.</t>
  </si>
  <si>
    <t xml:space="preserve">CLIP Usaquén </t>
  </si>
  <si>
    <t>Acompañar la articulación de acciones y estrategias de participación en la localidad de Usaquén - Además del Avances del PDL de Usaquén y Presentación Obras con Saldo Pedagógico 2024-2.</t>
  </si>
  <si>
    <t xml:space="preserve">Aleyda Guzmán </t>
  </si>
  <si>
    <t xml:space="preserve">lguzman@participacionbogota.gov.co </t>
  </si>
  <si>
    <t>1. Avances de Presupuestos Participativos (Primera fase BDL - Segunda Fase); 2. Avances Propuesta Estrategía de Participación de Presupuestos Participativos 2024</t>
  </si>
  <si>
    <t>CUPI PEMPD Teusaquillo</t>
  </si>
  <si>
    <t>Ejecutar actividades en el ámbito territorial del PEMPD que garantice la articulación con el conjunto de la institucionalidad prevista en el instrumento. Dar a conocer en detalle el sistema de gestión del PEMPD SIU DI de Teusaquillo.</t>
  </si>
  <si>
    <t>Alcaldía Local de Teusaquillo (Tv. 18 Bis #38-41)</t>
  </si>
  <si>
    <t>Articulación con el conjunto de la institucionalidad prevista en el instrumento CUPI.</t>
  </si>
  <si>
    <t xml:space="preserve">Seguimiento Smart City </t>
  </si>
  <si>
    <t>Coordinar con los jefes de cada oficina las actividades necesarias para el evento de Smart City Expo con los avances hasta el momento.</t>
  </si>
  <si>
    <t>Se realizó el seguimiento de los compromisos previstos para el evento Smart City Expo.</t>
  </si>
  <si>
    <t xml:space="preserve">CLIP - Suba </t>
  </si>
  <si>
    <t xml:space="preserve">Acompañar la articulación de acciones y estrategias de participación a nivel local. </t>
  </si>
  <si>
    <t>equilibriobogota@gmail.com</t>
  </si>
  <si>
    <t xml:space="preserve">Resultados generales presupuestos participativos,  Bogotá distribuye lo local 2024 distribucion presupuestal.   </t>
  </si>
  <si>
    <t>Componente de Pedagogia Meta Asamblea Deliberativa</t>
  </si>
  <si>
    <t>Revisar el componente pedagogico de la meta asamblea deliberativa</t>
  </si>
  <si>
    <t>Calle 70 No 30 7</t>
  </si>
  <si>
    <t>Estrategias de formacion para Meta Asambleas Deliberativas</t>
  </si>
  <si>
    <t>Reunión preparatoria de devolución con Sociedad Civil</t>
  </si>
  <si>
    <t>Preparar la devolución con las organizaciones de la sociedad civil</t>
  </si>
  <si>
    <t>3046044496</t>
  </si>
  <si>
    <t>Devolución del Plan Distrital de Desarrollo con la Sociedad Civil. Metodología para la devolución con la Sociedad Civil. Articulación de la Sociedad Civil con el seguimiento a la implementación del Plan Distrital de Desarrollo.</t>
  </si>
  <si>
    <t>Acompañar y prestar el servicio de Secretaria Técnica al CTPD</t>
  </si>
  <si>
    <t>Discusión entorno a la bolsa logística, Se conformó una comisión accidental para realizar veeduría a la bolsa logística; se presento a las y los consejeros la pagina del CTDP detallando en cada apartado y se les presento, por parte de la UNAD, el consentimiento informado para el uso de datos personales en redes sociales y pagina web  Compromisos: Para el martes 10 de septiembre las comisiones deben reportar cuáles son sus delegados (2) a la comisión accidental de veeduría de la contratación; Dar gestión para otorgar permisos a los correos personales de las y los consejeros para que puedan acceder fácilmente a la plataforma Teams; para el martes 10 de septiembre las comisiones deben reportar sus (2) delegados al comité accidental de comunicaciones</t>
  </si>
  <si>
    <t>Sesion del comité ciudadano de la AEDA Fontibón</t>
  </si>
  <si>
    <t>Acompañar el desarrollo del comité ciudadano de la AEDA Fontibón</t>
  </si>
  <si>
    <t>Alcaldia Local de Fontibon</t>
  </si>
  <si>
    <t>Reglamento comite ciudadano AEDA Fontibon, Sistema de Participacion terrotorial, politica moradores y programa de ciudad portuaria.</t>
  </si>
  <si>
    <t>Devolución ciudadana construcción PDD - Sector Centro Ampliado</t>
  </si>
  <si>
    <t>Miguel Ángel Aguilar</t>
  </si>
  <si>
    <t>Auditorio Alcaldía de Barrios Unidos - Cl. 74a #63-07</t>
  </si>
  <si>
    <t>resultados de la participación en la formulación del Plan Distrital de Desarrollo, acuerdo adoptado con miras a promover la confianza, apropiación y corresponsabilidad para la futura implementación del plan, proyectos integrales de proximidad para el sector de Centro Ampliado.</t>
  </si>
  <si>
    <t>Convocatoria Territorial Meta Asamblea - Sumapaz</t>
  </si>
  <si>
    <t xml:space="preserve">Desarrollar el proceso de convocatoria ciudadana a la Meta Asamblea Deliberativa 2024 en la localidad de Sumapaz. </t>
  </si>
  <si>
    <t xml:space="preserve">Centro Poblado La Unión </t>
  </si>
  <si>
    <t>Convocatoria Territorial Meta Asamblea - San Cristóbal</t>
  </si>
  <si>
    <t>Desarrollar el proceso de convocatoria ciudadana a la Meta Asamblea Deliberativa 2024 en la localidad de San Cristóbal.</t>
  </si>
  <si>
    <t>Recorrido en la localidad de San Cristóbal en el siguiente lugar: Iglesia del 20 de Julio</t>
  </si>
  <si>
    <t>Convocatoria Territorial Meta Asamblea - Teusaquillo 2</t>
  </si>
  <si>
    <t>Desarrollar el proceso de convocatoria ciudadana a la Meta Asamblea Deliberativa 2024 en la localidad de Teusaquillo 2.</t>
  </si>
  <si>
    <t>Recorrido en la localidad de Teusaquillo en el siguiente lugar: Parque Simón Bolívar</t>
  </si>
  <si>
    <t>Convocatoria Territorial Meta Asamblea - Antonio Nariño</t>
  </si>
  <si>
    <t>Desarrollar el proceso de convocatoria ciudadana a la Meta Asamblea Deliberativa 2024 en la localidad de Antonio Nariño.</t>
  </si>
  <si>
    <t>Recorrido en la localidad de Los Mártires en los siguientes lugares: Plaza de Paloquemao, Centro Comercial Mallplaza, Usatama y Samper Mendoza</t>
  </si>
  <si>
    <t xml:space="preserve">María Fernanda Doncel Quintero  </t>
  </si>
  <si>
    <t xml:space="preserve"> CDC de Lourdes cra 2 # 4 10.</t>
  </si>
  <si>
    <t>Socialización de los adelantos de RENOBO</t>
  </si>
  <si>
    <t xml:space="preserve">Seguimiento evento de Smart City Expo </t>
  </si>
  <si>
    <t>Realizar seguimiento a las actividades asignadas durante la semana a las coordinaciones respectivas.</t>
  </si>
  <si>
    <t xml:space="preserve">SDP - Piso 8 </t>
  </si>
  <si>
    <t>Se realizó seguimiento a los compromisos adquiridos por cada área y se asignaron nuevos compromisos</t>
  </si>
  <si>
    <t>Componente de Comunicaciones Meta Asamblea Deliberativa</t>
  </si>
  <si>
    <t>Revisión Componente de comunicaciones Meta Asamblea Deliberativas</t>
  </si>
  <si>
    <t>Avance tema de comunicaciones y contextualizacion con Arrebol</t>
  </si>
  <si>
    <t>Convocatoria Territorial Meta Asamblea - Los Mártires</t>
  </si>
  <si>
    <t>Desarrollar el proceso de convocatoria ciudadana a la Meta Asamblea Deliberativa 2024 en la localidad de Los Mártires.</t>
  </si>
  <si>
    <t>William Eduardo Quintero</t>
  </si>
  <si>
    <t>Comisión Poblacional CTDP</t>
  </si>
  <si>
    <t>Elegir las delegaciones de la Comision Poblacional a las comisiones solicitadas en el marco de la plenaria del CTPD realizada el día 5 de septiembre.</t>
  </si>
  <si>
    <t>Jaqueline Hernandez Lequizamón</t>
  </si>
  <si>
    <t xml:space="preserve"> 3013090210</t>
  </si>
  <si>
    <t xml:space="preserve"> stellaher611@gmail.com</t>
  </si>
  <si>
    <t>Delegación de la comisión poblacional del CTPD a las comisiones accidentales del CTPD para comunicaciones y verificación de la bolsa logistica.</t>
  </si>
  <si>
    <t>Prestar acompañamiento como Secretaría Técnica a la comisión de participación del CTPD</t>
  </si>
  <si>
    <t>Dick Dario  Díaz Melendez</t>
  </si>
  <si>
    <t xml:space="preserve">Se hablo sobre el evento del 28 de septiembre, haciendo cabio de fecha al 05 de octubre, revisando agenda, metodología y formulario, también por concesión de los asistentes se acuerda hacer las comisiones los martes y del presupuesto de la comisión poder enviar las representantes ala evento de Paipa Se escogieron a los consejeros Jeyson David Barragán Becerra y Jeimmy Marcela Suarez, como representantes a la comisión accidental de comunicaciones y a al consejero Alfredo López Hernández para comisión accidental de bolsa logística  Proxima comisión martes 17 de Septiembre </t>
  </si>
  <si>
    <t>Comisión de Desarrollo Regional - CTPD</t>
  </si>
  <si>
    <t>Realizar votaciones para seleccionar a los delegados de las comisiones accidentales de Comunicaciones y de Verificación de la Bolsa Logística</t>
  </si>
  <si>
    <t>Se realizaron las votaciones para seleccionar a los delegados de las comisiones accidentales de comunicaciones y de revisión de bolsa logística.</t>
  </si>
  <si>
    <t>Segumiento sectorial - SPT</t>
  </si>
  <si>
    <t>Presentar el protocolo de seguimiento sectorial en el marco del Sistema de Participación Territorial.</t>
  </si>
  <si>
    <t>Diego Alejandro Camacho (no hay un actor externo)</t>
  </si>
  <si>
    <t>3508212744</t>
  </si>
  <si>
    <t>dcamachoe@sdp.gov.co</t>
  </si>
  <si>
    <t xml:space="preserve">Sede CTPD </t>
  </si>
  <si>
    <t>Explicación del Sistema de Participación Territorial y las actividades de seguimiento sectorial</t>
  </si>
  <si>
    <t>Reunión Alistamiento Sorteo Ciudadano Meta Asamblea Deliberativa</t>
  </si>
  <si>
    <t>Alistamiento Sorteo Ciudadano Meta Asamblea.</t>
  </si>
  <si>
    <t xml:space="preserve">Realización del sorteo de selección de participantes para metas asambleas en el Samrt City </t>
  </si>
  <si>
    <t xml:space="preserve">
Acompañar la articulación de los esfuerzos institucionales de participación en la localidad de Fontibon</t>
  </si>
  <si>
    <t>Cra. 99 #19-43, Bogotá</t>
  </si>
  <si>
    <t>Los temas que se abordarán en esa jornada son,  Proyectos de Diseño y Obra que en este momento adelanta la Subdirección Técnica de Construcciones, Proyectos del Plan de Distrital de Desarrollo cuatrienio 2024 -2027 "Bogotá Camina Segura" por la Subdirección Técnica de Construcciones del IDRD, ⁠Invitación lanzamiento cultura de paz</t>
  </si>
  <si>
    <t>Actuación estratégica, reencuentro y ordenamiento territorial, con enfoque de género - COLMYG</t>
  </si>
  <si>
    <t>Acompañar el reconocimiento de las prioridades para la revitalizacion del territorio enfocado en género (mujeres)</t>
  </si>
  <si>
    <t>José Antonio Ramirez</t>
  </si>
  <si>
    <t>3214304157</t>
  </si>
  <si>
    <t>Calle 22b # 20-51 barrio Samper Mendoza.</t>
  </si>
  <si>
    <t>RenoBo presentó los avances sobre la AE Reencuentro con algunos miembros del COLMYG</t>
  </si>
  <si>
    <t>Convocatoria Territorial Meta Asamblea - Tunjuelito</t>
  </si>
  <si>
    <t>Desarrollar el proceso de convocatoria ciudadana a la Meta Asamblea Deliberativa 2024 en la localidad de Tunjuelito.</t>
  </si>
  <si>
    <t>Mario Germán Herrera</t>
  </si>
  <si>
    <t>Néstor Jecfrid Sánchez</t>
  </si>
  <si>
    <t>Recorrido en la localidad de Tunjuelito en el siguiente lugar: Parque El Tunal</t>
  </si>
  <si>
    <t>Convocatoria Territorial Meta Asamblea - Usme</t>
  </si>
  <si>
    <t>Desarrollar el proceso de convocatoria ciudadana a la Meta Asamblea Deliberativa 2024 en la localidad de Usme.</t>
  </si>
  <si>
    <t>Recorrido en la localidad de Usme en el siguiente lugar: Centro Comercial Santa Librada</t>
  </si>
  <si>
    <t>Kr 13 #5474, Bogotá</t>
  </si>
  <si>
    <t xml:space="preserve">Presentación generalidades borrador reglamento de CLIP de Chapinero, Presentación de la PP de participación incidente Decreto 477, Presentación del Borrador circular de presupuestación participativa </t>
  </si>
  <si>
    <t xml:space="preserve">Convocatoria Territorial Meta Asamblea - Barrios Unidos </t>
  </si>
  <si>
    <t>Desarrollar el proceso de convocatoria ciudadana a la Meta Asamblea Deliberativa 2024 en la localidad de Barrios Unidos.</t>
  </si>
  <si>
    <t>Recorrido en la localidad de Barrios Unidos en los siguientes lugares: 7 de agosto, Plaza de Mercado y Carrera 24</t>
  </si>
  <si>
    <t xml:space="preserve">Acompañar la articulación de los esfuerzos institucionales de participación  de la localidad de Teusaquillo, </t>
  </si>
  <si>
    <t>josé humberto pedraza</t>
  </si>
  <si>
    <t>La magdalena</t>
  </si>
  <si>
    <t>Tv. 18 Bis No. 38-41 - alcaldía local de Teusaquillo</t>
  </si>
  <si>
    <t>Intervención del Subdirector de Promoción de la Participación del IDPAC, presupuestos participativos segunda fase año 2024 e intervención del Consejo Local de Juventud Teusaquillo.</t>
  </si>
  <si>
    <t>1er Encuentro de Lideres para la Gestión Territorial, Participación Social e Intersectorialidad</t>
  </si>
  <si>
    <t>Este encuentro se constituye en un espacio clave Propositivo y de construcción para que las entidades de orden distrital, fortalezcamos las estrategias propias y conjuntas a través del acompañamiento de la misma ciudadanía.</t>
  </si>
  <si>
    <t>Alejandra Taborda</t>
  </si>
  <si>
    <t>A1Taborda@saludcapital.gov.co</t>
  </si>
  <si>
    <t xml:space="preserve">Auditorio Homocentro Secretaría Distrital de Salud  </t>
  </si>
  <si>
    <t>Socialización de la Estrategia de Atención Primaria en Salud para los próximos cuatro años, en cumplimiento del artículo 46 del PDD. Se explicó los ejercicios intersectoriales para implementar los determinantes sociales de salud en el Distrito durante este período. Finalmente, se presentarán cinco propuestas clave:  Bogotá Sin Hambre; Salud Mental; Infancia de Cero a Siempre; Exclusiones Extremas en la Ciudad; Habitabilidad en Calle</t>
  </si>
  <si>
    <t>Acompañar la articulación de los esfuerzos institucionales de participación  de la localidad de Ciudad Bolívar</t>
  </si>
  <si>
    <t>Alejandro Igua Hernandez</t>
  </si>
  <si>
    <t>aigua@participacionbogota.gov.co</t>
  </si>
  <si>
    <t>ALCALDIA LOCAL DE CIUDAD BOLIVAR</t>
  </si>
  <si>
    <t>La Alcaldia Local de Ciudad Bolívar y el IDPAC, solicitan el apoyo de los sectores para el desarrollo de prespupuestos participativos</t>
  </si>
  <si>
    <t>Articulación Localidad de San Cristóbal (IDU, Fundación Prodesarrollo y Gestión de Colombia)</t>
  </si>
  <si>
    <t>Establecer articulación para Reunión de Discusión de proyectos de Infraestructura en la Localidad de San Cristóbal entre IDU y Fundación Prodesarrollo y Gestión de Colombia</t>
  </si>
  <si>
    <t>Jairo Humberto Galvis Malaver</t>
  </si>
  <si>
    <t>prodesarrolloygestioncolombia@gmail.com</t>
  </si>
  <si>
    <t>CAD piso 2 CTPD Carrera 30 # 25 - 90</t>
  </si>
  <si>
    <t>Proyectos de Infraestructura en la Localidad de San Cristóbal que se encuentran en proceso de planificación para su construcción y otros para mantenimiento.</t>
  </si>
  <si>
    <t>Convocatoria Territorial Meta Asamblea - Fontibón</t>
  </si>
  <si>
    <t>Desarrollar el proceso de convocatoria ciudadana a la Meta Asamblea Deliberativa 2024 en la localidad de Fontibón.</t>
  </si>
  <si>
    <t>Edinson Alejandro Celis</t>
  </si>
  <si>
    <t>Recorrido en la localidad de Fontibón en el siguiente lugar: Centro Pueblo Fontibón</t>
  </si>
  <si>
    <t>Reunión definición ajuste de directrices AE Ciudadela del Cuidado</t>
  </si>
  <si>
    <t>Definir si se reestructuran las directrices de la AE Ciudadela del Cuidado</t>
  </si>
  <si>
    <t xml:space="preserve">Camilo Barbosa </t>
  </si>
  <si>
    <t>312 3603949</t>
  </si>
  <si>
    <t>Kr 30 # 25 - 90</t>
  </si>
  <si>
    <t xml:space="preserve">Definir si se reestructuran las directrices de la AE Ciudadela del Cuidado, ejercicio de participacion de la ciudadania, cronograma de acciones a desarrollar </t>
  </si>
  <si>
    <t>Sesión Comité Ciudadano AEDA Engativá</t>
  </si>
  <si>
    <t>Acompañar el desarrollo del comité ciudadano de la AEDA Engativá</t>
  </si>
  <si>
    <t>Fredy Páez</t>
  </si>
  <si>
    <t>3124586795</t>
  </si>
  <si>
    <t>fredy.paez1203@gmail.com</t>
  </si>
  <si>
    <t>Sabanas del Dorado</t>
  </si>
  <si>
    <t>Carrera 119 # 63F - 27</t>
  </si>
  <si>
    <t xml:space="preserve">Se abordo el tema de la AEDA Engativá respecto a,os impactos que tendrá en 10 de los barrios del polígono Sabanas del Dorado </t>
  </si>
  <si>
    <t>Convocatoria Territorial Meta Asamblea - Puente Aranda</t>
  </si>
  <si>
    <t>Desarrollar el proceso de convocatoria ciudadana a la Meta Asamblea Deliberativa 2024 en la localidad de Puente Aranda.</t>
  </si>
  <si>
    <t>Recorrido en la localidad de Puente Aranda en los siguientes lugares: Ciudad Montes, El Jazmin, La Ponderosa, Galán</t>
  </si>
  <si>
    <t>3132133446</t>
  </si>
  <si>
    <t>Mesa De Coordinación Interinstitucional “Dia Distrital Del Peatón 2024”</t>
  </si>
  <si>
    <t>Acompañar la Mesa De Coordinación Interinstitucional “Dia Distrital Del Peatón 2024” convocada por la secretaría de Movilidad</t>
  </si>
  <si>
    <t>Juan Sebastián Daza</t>
  </si>
  <si>
    <t xml:space="preserve">Secretaria de movilidad </t>
  </si>
  <si>
    <t>radicacionentidades@movilidadbogota.gov.co</t>
  </si>
  <si>
    <t>Piloto día del peatón 2024 / circuito peatonal sierra morena</t>
  </si>
  <si>
    <t xml:space="preserve">Acompañar la articulación de los esfuerzos institucionales de participación en la localidad de Barrios Unidos. </t>
  </si>
  <si>
    <t>Ameed</t>
  </si>
  <si>
    <t>3115580959</t>
  </si>
  <si>
    <t>Casa de la Cultura Barrios Unidos (Cra. 29 B #66-51)</t>
  </si>
  <si>
    <t>Metas para el Plan de Desarrollo Local, Laboratorios Culturales en la Localidad de Barrios Unidos, Estrategias propuestas desde la SDSCJ.</t>
  </si>
  <si>
    <t xml:space="preserve">SDP- Piso 8 </t>
  </si>
  <si>
    <t>Se abordaron los compromisos adquiridos por cada una de las áreas encargadas y se aclararon diversas situaciones relacionadas en el evento como el internet.</t>
  </si>
  <si>
    <t>Convocatoria Territorial Meta Asamblea - Rafael Uribe</t>
  </si>
  <si>
    <t>Desarrollar el proceso de convocatoria ciudadana a la Meta Asamblea Deliberativa 2024 en la localidad de Rafael Uribe.</t>
  </si>
  <si>
    <t>Recorrido en la localidad de Rafael Uribe en los siguientes lugares: Quiroga, Olaya, Santander</t>
  </si>
  <si>
    <t>Gestión: Segumiento sectorial SPT</t>
  </si>
  <si>
    <t>Explicar los contenidos del reporte trimestral del SPT</t>
  </si>
  <si>
    <t>Estructura del Sistema de Participación Territorial y esquema de reportes trimestrales</t>
  </si>
  <si>
    <t>Comité Técnico - Convenio 339 de 2024 - CTPD</t>
  </si>
  <si>
    <t xml:space="preserve">Carrera 30 Nº 26 90 </t>
  </si>
  <si>
    <t xml:space="preserve">Informe de avance de las actividades del convenio, Estado actual del diplomado y ceremonia de grado y Informe del convenio </t>
  </si>
  <si>
    <t>AE Rionegro/ Entre Ríos (Ruta RenoBo)</t>
  </si>
  <si>
    <t>Acompañar el grupo focal de la comunidad entre ríos una actividad de carácter pedagógico para la AE Rionegro.</t>
  </si>
  <si>
    <t>Juan Camilo Vargas Plazas</t>
  </si>
  <si>
    <t>jvargasp@renobo.com.co</t>
  </si>
  <si>
    <t>Entre Rios</t>
  </si>
  <si>
    <t>Cra. 62 #83-2, Bogotá, Colombia</t>
  </si>
  <si>
    <t>Se expuso los objetivos de la AE Rionegro/ Entre Ríos, al igual que las directrices de la misma AE.</t>
  </si>
  <si>
    <t>Reunión con Open Society Fundation-Seguimiento Asambleas Deliberativas</t>
  </si>
  <si>
    <t>Presentar un Balance de los avances en el proceso de alistamiento de la Meta Asamblea Deliberativa a los coperantes del Open Society que estan como aliados de todo el proceso MAD</t>
  </si>
  <si>
    <t>Seguimiento y presentación meta asamblea deliberativa</t>
  </si>
  <si>
    <t>Convocatoria Territorial Meta Asamblea - Bosa</t>
  </si>
  <si>
    <t>Desarrollar el proceso de convocatoria ciudadana a la Meta Asamblea Deliberativa 2024 en la localidad de Bosa.</t>
  </si>
  <si>
    <t>Recorrido en la localidad de Bosa en los siguientes lugares: Centro, Piamonte, Carbonel</t>
  </si>
  <si>
    <t>Desarrollar el proceso de convocatoria ciudadana a la Meta Asamblea Deliberativa 2024 en la localidad de Bosa</t>
  </si>
  <si>
    <t xml:space="preserve">Convocatoria Usme urbano/rural - Meta asamblea </t>
  </si>
  <si>
    <t>Realizar inscripciones para la Meta Asamblea.</t>
  </si>
  <si>
    <t xml:space="preserve">Alcaldia Local de Usme </t>
  </si>
  <si>
    <t>Convocatoria Territorial Meta Asamblea - Kennedy</t>
  </si>
  <si>
    <t>Desarrollar el proceso de convocatoria ciudadana a la Meta Asamblea Deliberativa 2024 en la localidad de Kennedy</t>
  </si>
  <si>
    <t>John Andrés Córdoba</t>
  </si>
  <si>
    <t>Recorrido en la localidad de Kennedy en los siguientes lugares: Centro Kennedy, Techo, Plaza de Las Américas</t>
  </si>
  <si>
    <t xml:space="preserve">Gestión: Articulación Semana Palenquera </t>
  </si>
  <si>
    <t>Gestionar los recursos materiales y financieros para el apoyo de la OPDC en la ejecución de la Semana Palenquera en Bogotá</t>
  </si>
  <si>
    <t>Inilida Cassiani</t>
  </si>
  <si>
    <t>3003987016</t>
  </si>
  <si>
    <t>monaripalenquebogota@gmail.com</t>
  </si>
  <si>
    <t>Posá Wiwa Carrera 3 #10-72</t>
  </si>
  <si>
    <t>Detalles logísticos del apoyo de la SDP a la Semana Palenquera</t>
  </si>
  <si>
    <t>Reunión Transparencia Meta Asamblea - Organismos de control</t>
  </si>
  <si>
    <t>Presentar a los organismos de control la estrategia de la MAD y solicitar su acompañamiento para que sirvan de garantes al proceso de verificación del sorteo para la elección de las 60 personas que van a ser parte de la MAD</t>
  </si>
  <si>
    <t>SDP Piso 5 Sala B</t>
  </si>
  <si>
    <t>Contextualización convocatoria y sorteo meta asamblea a organismos de control</t>
  </si>
  <si>
    <t>Gestión: Mesa de trabajo SDP - SDMujer preparación devolución PDD Consejo Consultivo Mujeres</t>
  </si>
  <si>
    <t>Apoyar técnicamente a la SDMujer en la preparatoria de Devolución del PDD con el Consejo Consultivo de Mujeres de Bogotá-Espacio Autónomo</t>
  </si>
  <si>
    <t>No se llevo a cabo la actividad debido a que no asistio nadie</t>
  </si>
  <si>
    <t>CLIP extraordinaria Mártires</t>
  </si>
  <si>
    <t>Recomendaciones de la mes apreparatoria para presentar acciones conjuntas en el CLOPS</t>
  </si>
  <si>
    <t>Recomendaciones de la mesa preparatoria para presentar acciones conjuntas en el clops</t>
  </si>
  <si>
    <t>Devolución ciudadana construcción PDD - Cuenca del Tunjuelo - Ciudad Bolivar</t>
  </si>
  <si>
    <t xml:space="preserve">Colegio el Destino </t>
  </si>
  <si>
    <t>Devolución y rendición de cuentas sobre los resultados de la participación en la formulación del Plan Distrital de Desarrollo y la Socialización del acuerdo adoptado con miras a promover la confianza, apropiación y corresponsabilidad para la futura implementación del plan.</t>
  </si>
  <si>
    <t>Invitación socialización Plan Parcial Edén-El Descanso", localidad de Bosa.</t>
  </si>
  <si>
    <t>Acompañar la jornada de socialización del Plan Parcial "Edén-El Descansó" de la localidad de Bosa, dirigido a los habitantes cercanos a este territorio, por parte de las Entidades que cuentan con la información y el conocimiento pertinente</t>
  </si>
  <si>
    <t xml:space="preserve">Carlos Martinez </t>
  </si>
  <si>
    <t>carlos.martinezm@habitatbogota.gov.co</t>
  </si>
  <si>
    <t xml:space="preserve">San Bernardino </t>
  </si>
  <si>
    <t>Salón Comunal Vereda San Bernardino (Transversal 87B # 79C - 42)</t>
  </si>
  <si>
    <t>Explicación de la implementación de los plazos del Decreto del Plan Parcial "Edén El Descanso" firmado en noviembre de 2023 para el proceso de legalización. Análisis del proceso de legalización de áreas diferenciadas del plan parcial por la Secretaría del Hábitat. Explicación de los tiempos de legalización por parte de la SDP.</t>
  </si>
  <si>
    <t>Convocatoria Usme / Sumapaz - Meta asamblea</t>
  </si>
  <si>
    <t xml:space="preserve">Inscribir a jóvenes de la ruralidad a las Asambleas Ciudadanas Deliberativas. </t>
  </si>
  <si>
    <t xml:space="preserve"> Calle 91 sur #4 C 26 Este</t>
  </si>
  <si>
    <t>Desarrollar el proceso de convocatoria ciudadana a la Meta Asamblea Deliberativa 2024 en Usme/Sumapaz</t>
  </si>
  <si>
    <t>Convocatoria Territorial Meta Asamblea - Ciudad Bolívar</t>
  </si>
  <si>
    <t>Desarrollar el proceso de convocatoria ciudadana a la Meta Asamblea Deliberativa 2024 en la localidad de Ciudad Bolívar.</t>
  </si>
  <si>
    <t>Recorrido en la localidad de Ciudad 
Bolivar en los siguientes lugares: Centro 
Comercial El Ensueño, Candelaria Nueva, 
La Coruña</t>
  </si>
  <si>
    <t>Desarrollar el proceso de convocatoria ciudadana a la Meta Asamblea Deliberativa 2024 en la localidad de Ciudad Bolívar</t>
  </si>
  <si>
    <t xml:space="preserve">Gestión: Entrenamiento del PDD taller Niños, Niñas y Adolescentes </t>
  </si>
  <si>
    <t>Entrenar al equipo de la OPDC en la metodología participativa de devolución con NNA.</t>
  </si>
  <si>
    <t>Sala A piso 8</t>
  </si>
  <si>
    <t>Entrenamiento metodológico de facilitadores que realizarán taller de devolución con NNA</t>
  </si>
  <si>
    <t>Reunión Asambleas Deliberativas Componente Comunicaciones</t>
  </si>
  <si>
    <t>Revisar Componentes de comunicación Meta Asambleas Deliberativas.</t>
  </si>
  <si>
    <t xml:space="preserve">Presentación video para smart city y propuesta de comunicación de las Asambleas Deliberativas </t>
  </si>
  <si>
    <t xml:space="preserve">Convocatoria Territorial Meta Asamblea - Chapinero rural </t>
  </si>
  <si>
    <t xml:space="preserve">Desarrollar el proceso de convocatoria ciudadana a la Meta Asamblea Deliberativa 2024 en la ruralidad de la localidad de Chapinero. </t>
  </si>
  <si>
    <t>Cindy Ovalle</t>
  </si>
  <si>
    <t>Ruralidad de Chapinero</t>
  </si>
  <si>
    <t xml:space="preserve">Alto del Silverio </t>
  </si>
  <si>
    <t>Desarrollar el proceso de convocatoria ciudadana a la Meta Asamblea Deliberativa 2024 en la localidad de Chapinero rural</t>
  </si>
  <si>
    <t>Comité Intersectorial PDD - Fase 4</t>
  </si>
  <si>
    <t>Realizar seguimiento con los enlaces de cada sector en que respecta a las actividades de devolución de la fase 4.</t>
  </si>
  <si>
    <t>Se hizo seguimiento a cada enlace acerca de su respectivo sector y las evidencias que reporta cada una de la fase 4</t>
  </si>
  <si>
    <t xml:space="preserve">SDP - piso 8 </t>
  </si>
  <si>
    <t>Se hizo seguimiento a los compromisos de cada una de las áreas de cara al evento de Smart City Expo y se asignaron los nuevos compromisos a ser dialogados en la reunión del jueves.</t>
  </si>
  <si>
    <t>Comité técnico de Diseño Asambleas Deliberativas</t>
  </si>
  <si>
    <t>Seguimiento del diseño asambleas deliriberativas.</t>
  </si>
  <si>
    <t>Contextualizacion de reuniones y avances generales de la meta asamblea deliberativa</t>
  </si>
  <si>
    <t xml:space="preserve">Reunión Asambleas Deliberativas Componente Pedagógico </t>
  </si>
  <si>
    <t>Seguimiento a todo el componente pedagógico de las Asambleas Deliberativas.</t>
  </si>
  <si>
    <t>Chapinero Central</t>
  </si>
  <si>
    <t>Extituto de Politica Abierta Cra 9 No 60 09</t>
  </si>
  <si>
    <t xml:space="preserve">Conocer propuesta componente pedagógico </t>
  </si>
  <si>
    <t xml:space="preserve">Gestión: Diseño comunicacional Semana Palenquera </t>
  </si>
  <si>
    <t>Diseñar la propuesta comunicacional de la Semana Palenquera 2024 en el marco del apoyo técnico contemplado en el Plan Integral de Acciones Afirmativas de la OPDC.</t>
  </si>
  <si>
    <t>Inilida Casseres</t>
  </si>
  <si>
    <t xml:space="preserve">Diseño comunicacional Semana Palenquera </t>
  </si>
  <si>
    <t>Comisión Poblacional - CTPD</t>
  </si>
  <si>
    <t>Aprobar las actas del semestre pasado y revisar el plan de acción para este nuevo semestre.</t>
  </si>
  <si>
    <t>Jaqueline Hernández Leguizamón</t>
  </si>
  <si>
    <t>Revisión de las actas de la comisión del primer semestre y diálogo alrededor del plan de acción para este nuevo semestre</t>
  </si>
  <si>
    <t>Comuneros</t>
  </si>
  <si>
    <t>Alcaldía Local Puente Aranda (Cl. 4 #31D-30)</t>
  </si>
  <si>
    <t>Agenda de espacios de participación para el mes de Septiembre y Octubre, plan de desarrollo local, laboratorio cultura en la localidad de Puente Aranda.</t>
  </si>
  <si>
    <t>Componente de Pedagogía Meta Asamblea Deliberativa</t>
  </si>
  <si>
    <t>Seguimiento pedagogía Meta Asamblea Deliberativa.</t>
  </si>
  <si>
    <t xml:space="preserve">Proceso de construcción componente de la metodología de las Metas asambleas Deliberativas </t>
  </si>
  <si>
    <t>Acompañar como Secretaría Técnica a la Comisión de Participación del CTPD</t>
  </si>
  <si>
    <t>Los funcionarias Mariana Infante y María Fernanda Castillo, del Ministerio del Interior hicieron una exposición y respondieron preguntas a los consejeros sobre Construcción de la Política Pública de Participación Electoral. Con Isabel Ramírez de la UNAD se hicieron modificaciones sobre la pieza de comunicación para el evento que realizara la comisión el cinco de octubre</t>
  </si>
  <si>
    <t>Presupuestos participativos, Oferta preferente de Secretaría de Hábitat y Cupos priorizados de Secretaría de educación.</t>
  </si>
  <si>
    <t>Reunión con la Secretaria Ursula Ablanque y la Mesa Directiva del CTPD</t>
  </si>
  <si>
    <t>Asistir al CTPD en la reunión con la Secretaria Ursula en el marco de la verificacion del contrato de bolsa logistica por parte del CTPD.</t>
  </si>
  <si>
    <t xml:space="preserve">presidentectpd@gmail.com </t>
  </si>
  <si>
    <t>Despacho de la Secretaria de Planeación, Kra 30 # 25 - 90 Piso 8</t>
  </si>
  <si>
    <t>Aspectos respecto de la bolsa logística, plausibilidad respecto de la participación del CTPD como observadores del contrato de bolsa logística, posibilidad de apoyo por parte de la SDP al CTPD para la asistencia a un congreso en Paipa y a la COP 16, carnetización de los consejeros, y otros asuntos</t>
  </si>
  <si>
    <t>Recorrido por la Calle 24 desde Biblioteca Nacional hasta Cementerio Central - AE ´Pieza Reencuentro</t>
  </si>
  <si>
    <t>Acompañamiento al reconocimiento territorial  de RENOBO.</t>
  </si>
  <si>
    <t>Jose Antonio Ramirez</t>
  </si>
  <si>
    <t>jramirezo@renobo.com.co</t>
  </si>
  <si>
    <t>Biblioteca nacional-Cementerio central</t>
  </si>
  <si>
    <t>Calle 24 desde Biblioteca Nacional hasta Cementerio Central</t>
  </si>
  <si>
    <t xml:space="preserve">Recorrido por la Cl 24  hasta la cll 32 con caracas identificando sectores y espacios que requieren intervención por parte de RENOBO. </t>
  </si>
  <si>
    <t>Reunión SubComisión Participación</t>
  </si>
  <si>
    <t>Acompañar como Secretaria técnica a la Comisión de Participación del CTPD.</t>
  </si>
  <si>
    <t>Se hablo sobre los futuros eventos de la comisión del 28 de septiembre y 05 de octubre, revisando la agenda y metodología de este último, aprobando el enlace de inscripción y la pieza comunicativa de la invitación del mismo, y del evento del 28 de septiembre se habla que se va a utilizar la metodología dada por la OPDC en este tipo de devoluciones.</t>
  </si>
  <si>
    <t>Devolución PDD taller Niños, Niñas y Adolescentes</t>
  </si>
  <si>
    <t>Desarrollar taller de devolución PDD.</t>
  </si>
  <si>
    <t>Colegio Ciudad Chengdú</t>
  </si>
  <si>
    <t>7640656</t>
  </si>
  <si>
    <t xml:space="preserve">secretaria@alianzaeducativa.edu.co </t>
  </si>
  <si>
    <t>Boloña</t>
  </si>
  <si>
    <t xml:space="preserve">Colegio Ciudad Chengdú KR 14 C # 74 A - 06 SUR y KR 12 G # 22 B - 70 SUR. Sector Boloña, Localidad de Usme </t>
  </si>
  <si>
    <t>Devolución Plan Distrital de Desarrollo a los Niños, Niñas y Adolescentes</t>
  </si>
  <si>
    <t>Capacitación generalidades POT - UPL - AE</t>
  </si>
  <si>
    <t>Capacitar en conceptos generales sobre ordenamiento territorial, POT, UPL y AE.</t>
  </si>
  <si>
    <t>Auditorio CTPD - Super CADE</t>
  </si>
  <si>
    <t>Capacitación general de instrumentos de planeación, POT, UPL y AE</t>
  </si>
  <si>
    <t>Se realizo un ultimo seguimiento a los avances y compromisos adquiridos por cada área para el correcto desarrollo del evento de Smart City Expo.</t>
  </si>
  <si>
    <t>Diseño Metodología Sorteo Meta Asamblea Deliberativa</t>
  </si>
  <si>
    <t>Seguimiento al diseño de metodología  sorteo Meta Asamblea Deliberativa.</t>
  </si>
  <si>
    <t>SDP Piso 8 Sala D</t>
  </si>
  <si>
    <t>Seguimiento al diseño de metodología sorteo meta asamblea.</t>
  </si>
  <si>
    <t xml:space="preserve">Mesa de concertación productos PP Indigenas - Cap. Muisca </t>
  </si>
  <si>
    <t>Asistir a la mesa de concertación de las metodologias a implementar para el cumplimiento del producto de política pública que tiene a cargo la OPDC con el Pueblo Muisca</t>
  </si>
  <si>
    <t>3125641672</t>
  </si>
  <si>
    <t xml:space="preserve">Producto política pública para los pueblos indígenas; conpes 37; metodologías para cumplimiento de producto sobre caracterización de familias indígenas en bogota; incentivos de participación para ejercicio de caracterización </t>
  </si>
  <si>
    <t>Gestión: Capacitación - Sistema de Participación Territorial</t>
  </si>
  <si>
    <t>Capacitar al equipo territorial de la OPDC sobre los contenidos del Sistema de Participación Territorial.</t>
  </si>
  <si>
    <t>SDP - Auditorio CTPD</t>
  </si>
  <si>
    <t>Contenidos SPT.</t>
  </si>
  <si>
    <t>Tercera sesión de la Comisión Intersectorial de Participación</t>
  </si>
  <si>
    <t>Desarrollar los 8 puntos de la agenda de la Comisión Intersectorial de Participación.</t>
  </si>
  <si>
    <t>Angelo Gravier Santana</t>
  </si>
  <si>
    <t>CIP</t>
  </si>
  <si>
    <t>Mesa de trabajo JAC Condominio Alamos</t>
  </si>
  <si>
    <t>Atender mesa de trabajo solicitada por la JAC Condominio Alamos con temas relacionados con subdireccion de Mejoramiento Integral y Consolidación.</t>
  </si>
  <si>
    <t>Carlos Augusto Rubiano</t>
  </si>
  <si>
    <t>3214770151</t>
  </si>
  <si>
    <t>condominioalamos43@gmail.com</t>
  </si>
  <si>
    <t>Condominio Alamos</t>
  </si>
  <si>
    <t>SDP - Piso 8</t>
  </si>
  <si>
    <t>Estado actual del barrio Condominio Alamos para la legalización.</t>
  </si>
  <si>
    <t xml:space="preserve"> Celebración de la semana por la paz</t>
  </si>
  <si>
    <t xml:space="preserve">Acompañar desde la Secretaría Distrital de Planeación la instalación de la celebración de la semana por la paz. </t>
  </si>
  <si>
    <t>Patricia Paola Padilla</t>
  </si>
  <si>
    <t>dirpazreconciliacion@alcaldiabogota.gov.co</t>
  </si>
  <si>
    <t>Plaza de Bolivar</t>
  </si>
  <si>
    <t>Arropamiento de palacio de Justicia y Lievano como acto simbólico por reconocimiento a las victimas del conflicto armado.</t>
  </si>
  <si>
    <t>Taller de participación AE Pieza Reencuentro</t>
  </si>
  <si>
    <t>Acomapañar el taller de participación para la AE reencuentro, organizado por RENOBO.</t>
  </si>
  <si>
    <t>Salón Comunal Samper Mendoza - kr 26 no. 22 a 16</t>
  </si>
  <si>
    <t>Socialización con la comunidad asistente de la AE del reeencuentro.</t>
  </si>
  <si>
    <t>Planeación Estratégica Institucional - SDP Mañana Subdirección de Consolidación</t>
  </si>
  <si>
    <t>Apoyar el proceso de planeación estrategica de la entidad.</t>
  </si>
  <si>
    <t>Planeación Estratégica.  Visión de la SDP. Misión de la SDP.</t>
  </si>
  <si>
    <t>Planeación Estratégica Institucional - SDP Mañana Subdirección Occidente</t>
  </si>
  <si>
    <t>Acompañar la planeación Estratégica de la Subdirección de planeamiento local de occidente.</t>
  </si>
  <si>
    <t xml:space="preserve">Santiago Carvajal </t>
  </si>
  <si>
    <t>Como se ve la Secretaria distrital de planeación  en 12 años y estrategias para lograr cada una de las metas establecida a nivel institucional.</t>
  </si>
  <si>
    <t xml:space="preserve">Planeación Estratégica Institucional - SDP Mañana Subdirección de Planeamiento Local Noroccidente </t>
  </si>
  <si>
    <t xml:space="preserve">Formulación de la Planeación Estratégica de la entidad a través de la metodología de naves y joyas del tesoro. </t>
  </si>
  <si>
    <t>Planeación Estratégica Institucional - SDP Mañana Subdirección de Mejoramiento Integral</t>
  </si>
  <si>
    <t>Proceso de planeación estratégica de la entidad y areas - misión y vision.</t>
  </si>
  <si>
    <t>Gestión de acompañamiento de la OPDC a mesa de seguimiento a los avances del proceso de puesta en marcha del Ágora metropolitana (instancia de participación ciudadana de la Región metropolitana).</t>
  </si>
  <si>
    <t>6013840687</t>
  </si>
  <si>
    <t>contactenos@regionmetropolitana.gov.co</t>
  </si>
  <si>
    <t>avenida calle 26 #57 -83 edificio CEMA torre 8 piso 15</t>
  </si>
  <si>
    <t>Se realizó la socialización del ejercicio de participación ciudadana de Asambleas Deliberativas como ejemplo para realizar las asambleas del ágora metropolitana, se acordó enviar y revisar insumos de formularios de de ciudadanía no organizada para la convocatorial.</t>
  </si>
  <si>
    <t>Planeación Estratégica Institucional - SDP Tarde Sub Oriente</t>
  </si>
  <si>
    <t>Proceso de planeación estratégica de la entidad y areas - Mision y vision.</t>
  </si>
  <si>
    <t xml:space="preserve">Planeación Estratégica Institucional - SDP Tarde Subdirección de Economía Urbana, Rural y Regional </t>
  </si>
  <si>
    <t xml:space="preserve">Apoyar la formulación de la Planeación Estratégica de la entidad a través de la metodología de Naves y joyas de tesoro. </t>
  </si>
  <si>
    <t>Planeación Estratégica Institucional - SDP Tarde Subdirección de Urbanismo</t>
  </si>
  <si>
    <t>Acompañamiento a los talleres Planeación Estratégica.</t>
  </si>
  <si>
    <t xml:space="preserve">Juliana Ossa </t>
  </si>
  <si>
    <t>Como se ve la secretaria distrital de planeación en 12 años y estrategias para lograr cada una de las metas establecida a nivel institucional</t>
  </si>
  <si>
    <t>Planeación Estratégica Institucional - SDP Tarde Subdirección de Planes maestros</t>
  </si>
  <si>
    <t>Tercera sesión de la Subcomisión Permanente del Sistema de Participación Territorial</t>
  </si>
  <si>
    <t>Presentar los avances del reporte del tercer trimestre de la Subcomisión Permanente de la CIP.</t>
  </si>
  <si>
    <t>Subcomisión Permanente de la CIP</t>
  </si>
  <si>
    <t>Sede SDP - Auditorio CTPD</t>
  </si>
  <si>
    <t>Avances de la Subcomisión Permanente de la CIP.</t>
  </si>
  <si>
    <t>Reunion Preparación del Panel Asambleas Deliberativas</t>
  </si>
  <si>
    <t>Tratar temas relacionados con la preparación del panel de las asambleas deliberativas.</t>
  </si>
  <si>
    <t>Preparación del panel de las asambleas deliberativas.</t>
  </si>
  <si>
    <t>Presentación de nuevos actores y acciones de la CLIP Antonio Nariño.</t>
  </si>
  <si>
    <t>Tatiana Soler Rodriguez</t>
  </si>
  <si>
    <t>3118662290</t>
  </si>
  <si>
    <t>tatis.soler.27@gmail.com</t>
  </si>
  <si>
    <t>Alcance de presupuestos participativos y generalidades de obras con saldo pedagógico.</t>
  </si>
  <si>
    <t>Seguimiento metodología sorteo Meta Asamblea Deliberativa</t>
  </si>
  <si>
    <t>Mirar los avances en el diseño del sorteo.</t>
  </si>
  <si>
    <t>Avances en el diseño del sorteo.</t>
  </si>
  <si>
    <t>Charla POT - CUN</t>
  </si>
  <si>
    <t>Realizar una exposición sobre las generalidades del POT en función del turismo en Bogotá.</t>
  </si>
  <si>
    <t xml:space="preserve">William Jair Gil </t>
  </si>
  <si>
    <t>Academia</t>
  </si>
  <si>
    <t>Zaira Reina</t>
  </si>
  <si>
    <t>SUPERCAD - Auditorio CTPD</t>
  </si>
  <si>
    <t>Generalidades POT y Modelo de Ocupación del Territorio frente al turismo en la ciudad.</t>
  </si>
  <si>
    <t>Atender la agenda de la comsisión: 
Retroalimentación 1 Encuentro Habitar el Territorio: Acciones a escalar con secretaria de Planeación Distrital 
Aprobación Actas sesiones ordinarias y extraordinarias. Lo demás se mantiene. 
Comunicación interna y Externa Comisión POT
Plan de Acción -  Cronograma
Varios</t>
  </si>
  <si>
    <t>Ángela Patricia Manrrique</t>
  </si>
  <si>
    <t>3202547806</t>
  </si>
  <si>
    <t>ctpdcomisionpot@gmail.com</t>
  </si>
  <si>
    <t>La reunión tuvo por objeto atender los asuntos de la comsión, no obstante por falta de cuorum no se desarrolló.</t>
  </si>
  <si>
    <t>Planeación Estratégica Institucional - SDP Mañana Registro Social</t>
  </si>
  <si>
    <t>Planeacion institucional.</t>
  </si>
  <si>
    <t>Planeación Estratégica Institucional - SDP Mañana Dirección de Estructuras y Sistemas Territoriales</t>
  </si>
  <si>
    <t xml:space="preserve">DOFA de la SDP y de la dirección de Estructuras. </t>
  </si>
  <si>
    <t>Planeación Estratégica Institucional - SDP Mañana Dirección de áerea de Estratificación</t>
  </si>
  <si>
    <t>Realización de taller que aporta a la Planeación Estratégica de la SDP y de cada una de sus áreas.</t>
  </si>
  <si>
    <t>Planeación Estratégica Institucional - SDP Mañana Subdirección de Renovación Urbana y Desarrollo</t>
  </si>
  <si>
    <t>Planeación estratégica de la SDP y el area.</t>
  </si>
  <si>
    <t>Asistencia técnica al sector seguridad</t>
  </si>
  <si>
    <t>Dar asistencia técnica en proceso de participación apra la formulación de políticas públicas.</t>
  </si>
  <si>
    <t xml:space="preserve">Secretaria de Seguridad Convivencia y Justicia </t>
  </si>
  <si>
    <t xml:space="preserve">Id. de reunión: 219 649 093 84
Código de acceso: AYNFxo
Teams </t>
  </si>
  <si>
    <t>Asistencia Técnica 1.</t>
  </si>
  <si>
    <t>Devolución PDD - ASOBARES</t>
  </si>
  <si>
    <t>Realizar la devolución y rendición de cuentas sobre los resultados de la participación con el Gremio ASOBARES, en la formulación del Plan Distrital de Desarrollo y la Socialización del acuerdo adoptado con miras a promover la confianza, apropiación y corresponsabilidad para la futura implementación del plan.</t>
  </si>
  <si>
    <t>Nereida Sanchez</t>
  </si>
  <si>
    <t>3232897493</t>
  </si>
  <si>
    <t>Auditorio CTPD - Piso 2 SDP</t>
  </si>
  <si>
    <t>Plan desarrollo distrital con sus objetivos, metas, programas y proyectos, estrategia Bogota 24/7, Pilotos Productividad HNC y Política Pública 24h.</t>
  </si>
  <si>
    <t>Acompañar la articulación de los esfuerzos institucionales de participación en la localidad de Chapinero.</t>
  </si>
  <si>
    <t xml:space="preserve"> 3102079889</t>
  </si>
  <si>
    <t>Subdirección de la Secretaría Distrital de Integración Social (Diagonal 22 b Bis # 20 - 51 - Samper Mendoza)</t>
  </si>
  <si>
    <t>Socialización II fase de encuentros participativos.</t>
  </si>
  <si>
    <t>Acompañar la articulación de acciones y estrategias, en esta oportunidad relacionadas con la Fase 2 Presupuestos Participativos; y la política publica de participación ciudadana incidente.</t>
  </si>
  <si>
    <t>Instalaciones de subdirección local de integración social Calle 91sur No 3C 34 este</t>
  </si>
  <si>
    <t>Información implementación Fase 2 de presupuestos participativos. y IDPAC Información implementación IDPAC Decreto 477 Política Pública de Participación ciudadana Incidente.</t>
  </si>
  <si>
    <t>Gestión: Preparatoria Devolución PDD con Sociedad Civil</t>
  </si>
  <si>
    <t>Preparar la devolución del PDD con el programa Suma Social, de FHI360 y USAID.</t>
  </si>
  <si>
    <t>Camilo Celis</t>
  </si>
  <si>
    <t>3194497427</t>
  </si>
  <si>
    <t>ccelis@fhi360.org</t>
  </si>
  <si>
    <t>Plan Distrital de Desarrollo. Organizaciones de la Sociedad Civil. Metodología de Devolución del PDD.</t>
  </si>
  <si>
    <t>Planeación Estratégica Institucional - SDP Tarde Dirección de Desarrollo del Suelo</t>
  </si>
  <si>
    <t>Aportar a la Planeación Estratégica de la SDP y sus áreas.</t>
  </si>
  <si>
    <t>Planeación Estratégica Institucional - SDP Tarde Información y Estadistica</t>
  </si>
  <si>
    <t>Planeación Estratégica Institucional - SDP Tarde Subdirección de Catastro</t>
  </si>
  <si>
    <t>Planeación estratégica de la SDP y de la Dirección de Cartografía.</t>
  </si>
  <si>
    <t>Gestión - Socialización UPL/PIP a Alcaldes Locales y Fondos de Desarrollo Local</t>
  </si>
  <si>
    <t>Generar pedagogía frente a las UPL y sus PIP, socializando las acciones detonantes para los PIP priorizados a través de los Planes de Desarrollo Local.</t>
  </si>
  <si>
    <t>Maria Mónica Montealegre</t>
  </si>
  <si>
    <t>3112380992</t>
  </si>
  <si>
    <t>Unidades de Planeamiento Territorial - Proyectos Integrales de Proximidad - Presupuestos Participativos.</t>
  </si>
  <si>
    <t>Sistema de Participación Territorial - Gestión: Ambiente</t>
  </si>
  <si>
    <t xml:space="preserve">Realizar seguimiento al reporte trimestral del SPT con el sector Ambiente. </t>
  </si>
  <si>
    <t>Sergio Ramiro Burgos Romero</t>
  </si>
  <si>
    <t>Sergio.Burgos@ambientebogota.gov.co</t>
  </si>
  <si>
    <t xml:space="preserve">Seguimiento al reporte trimestral del SPT con el sector Ambiente. </t>
  </si>
  <si>
    <t>Comisión de Participación - CTPD</t>
  </si>
  <si>
    <t>Acompañar como Secretaría Técnica a la Comisión de Participación.</t>
  </si>
  <si>
    <t>Se hablo y modifico la agenda y metodología del evento que va a realizar la comisión el 05 de octubre.</t>
  </si>
  <si>
    <t xml:space="preserve">Gestión: Preparatoria Devolución UPL Sumapaz </t>
  </si>
  <si>
    <t xml:space="preserve">Presentar las generalidades a tener en cuenta para el taller de devolución de la UPL Sumapaz. </t>
  </si>
  <si>
    <t xml:space="preserve">Roles, recomendaciones y hora de encuentro para al devolución de la UPL Sumapaz. </t>
  </si>
  <si>
    <t>Planeación Estratégica Institucional - SDP - Mañana Políticas Públicas</t>
  </si>
  <si>
    <t>Planeación Estratégica SDP.</t>
  </si>
  <si>
    <t>Planeación Estratégica Institucional - SDP - Mañana Dirección de Estructuras y Sistemas Territoriales</t>
  </si>
  <si>
    <t>Planeación Estratégica Institucional - SDP - Mañana Programación, Seguimiento a la Inversión y Plan de Desarrollo</t>
  </si>
  <si>
    <t>Construir colectivamente la Planeación Estratégica de la SDP.</t>
  </si>
  <si>
    <t>Planeación estratégica del área.</t>
  </si>
  <si>
    <t>Planeación Estratégica Institucional - SDP - Mañana Dirección de Diversidad Sexual, Poblaciones y Géneros</t>
  </si>
  <si>
    <t>Brindar acompañamiento al proceso de planeación estratégica de la entidad.</t>
  </si>
  <si>
    <t>Super Cade carrera 30 piso 5</t>
  </si>
  <si>
    <t>Taller de Planeación estratégica Institucional con la Dirección de Diversidad Sexual, Poblaciones y Géneros</t>
  </si>
  <si>
    <t>Feria de Alto Nivel: Smart City Expo Bogotá - Mañana</t>
  </si>
  <si>
    <t>Propiciar una experiencia colectiva y la generación de datos para resolver desafíos de ciudad, incursionando en un ambiente de sentir a Bogotá como nuestra casa y el deseo de ponerla en orden en la feria anual de Smart City Expo</t>
  </si>
  <si>
    <t>Liz Catherine Dussán</t>
  </si>
  <si>
    <t>Catalina Sotelo Palma</t>
  </si>
  <si>
    <t>Presentación de los ciclos de Asambleas Deliberativas y sorteo de las y los participantes de Smartcity.</t>
  </si>
  <si>
    <t>Planeación Estratégica Institucional - SDP - Tarde Dirección de seguimiento a la inversión y Planes de Desarrollo Local</t>
  </si>
  <si>
    <t>Taller de Planeación estratégica Institucional con la Dirección de seguimiento a la inversión y Planes de Desarrollo Local</t>
  </si>
  <si>
    <t>Planeación Estratégica Institucional - SDP - Tarde Dirección de Inversiones Estratégicas</t>
  </si>
  <si>
    <t>Construir colectivamente la Planeación Estratégica de la SDP</t>
  </si>
  <si>
    <t xml:space="preserve">Planeación Estratégica Institucional - SDP - Tarde Desarrollo Económico </t>
  </si>
  <si>
    <t>Planeación Estratégica Institucional - SDP - Tarde Dirección de Desarrollo del Suelo</t>
  </si>
  <si>
    <t>Feria de Alto Nivel: Smart City Expo Bogotá - Tarde</t>
  </si>
  <si>
    <t>Presentación agenda académica en el marco de Smartcity</t>
  </si>
  <si>
    <t>Apoyar al CTPD en el desarrollo de su espacio de Participación.</t>
  </si>
  <si>
    <t>secretariatecnica@sdp.gov.co</t>
  </si>
  <si>
    <t>Inasistencia de consejeros y consejeras a los diferentes espacios del CTPD, procedimiento para oficiarlos y asistencia al congreso de mujeres consejeras territoriales.</t>
  </si>
  <si>
    <t>Planeación Estratégica Institucional - SDP Mañana Dirección Estratégica</t>
  </si>
  <si>
    <t>Accesibilidad Universal.</t>
  </si>
  <si>
    <t>Planeación Estratégica Institucional - SDP Mañana Dirección de Defensa Juridica</t>
  </si>
  <si>
    <t>Apoyo en relatoría de talleres de construcción del planeación estratégica de la entidad.</t>
  </si>
  <si>
    <t>Taller Planeación Estratégica Institucional.</t>
  </si>
  <si>
    <t>Planeación Estratégica Institucional - SDP Mañana Subdirección Oficina Control Interno</t>
  </si>
  <si>
    <t>SDP - Piso 8 sala E</t>
  </si>
  <si>
    <t>Misión y visión de la SDP y de la Oficina de Control Interno.</t>
  </si>
  <si>
    <t>Planeación Estratégica Institucional - SDP Mañana Dirección de Talento Humano</t>
  </si>
  <si>
    <t>Taller de Planeación estratégica InstitucionaL.</t>
  </si>
  <si>
    <t>Gestión: Presentación revisión de indicadores para la Migración en Planes de Desarrollo Locales y análisis de Impactos Fiscales de la Migración</t>
  </si>
  <si>
    <t>Asistir a una invitación realizada por la Fundación Konrad Adenauer, la Fundación Ideas para la Paz y Equilibrium SDC para la revisión de los Planes de Desarrollo formulados para los migrantes internacionales provenientes de Venezuela.</t>
  </si>
  <si>
    <t xml:space="preserve">Luisa Mogollón </t>
  </si>
  <si>
    <t>3229131853</t>
  </si>
  <si>
    <t>lmogollon.contratista@ideaspaz.org</t>
  </si>
  <si>
    <t>Club Colombo Libanés Cl. 87 #9-23</t>
  </si>
  <si>
    <t>Impacto fiscal de la migración venezolana, inclusión de la agenda migratoria en el PDD.</t>
  </si>
  <si>
    <t>Presentación agenda académica de la SDP en el marco de Smartcity Expo</t>
  </si>
  <si>
    <t xml:space="preserve">Planeación Estratégica Institucional - SDP Tarde Dirección Financiera </t>
  </si>
  <si>
    <t>Planeación Estratégica Institucional - SDP Tarde Subdirección Tecnologia de la Informacion y de las Comunicaciones</t>
  </si>
  <si>
    <t>Misión y Visión de la SDP y de la DTIC.</t>
  </si>
  <si>
    <t>Planeación Estratégica Institucional - SDP Tarde Dirección de Contratación</t>
  </si>
  <si>
    <t>Taller de Planeación estratégica Institucional.</t>
  </si>
  <si>
    <t>Socialización PIP Localidad San Cristóbal</t>
  </si>
  <si>
    <t>Socializar a la Alcaldía Local, los PIP correspondientes a la localidad y las acciones derivadas que se establecerán desde Presupuestos Participativos.</t>
  </si>
  <si>
    <t>Barrio San Cristóbal</t>
  </si>
  <si>
    <t>Alcaldía Local de San Cristóbal</t>
  </si>
  <si>
    <t>Socialización de MOT y UPL que conforman la localidad de San Cristóbal - Socialización de PIP priorizados para la localidad</t>
  </si>
  <si>
    <t>Proyección de temas específicos de la SDP en el marco de Smartcity.</t>
  </si>
  <si>
    <t>Capacitación Normativa a Funcionarios Alcaldía Local de Sumapaz</t>
  </si>
  <si>
    <t>Capacitar a la inspección de policiva de la alcaldía local de Sumapaz, en el componente rural del Decreto 555 de 2021, con acompañamiento de las curadurías</t>
  </si>
  <si>
    <t>Eudalia Cubides Ruiz</t>
  </si>
  <si>
    <t xml:space="preserve"> Eudalia.cubides@gobiernobogota.gov.co</t>
  </si>
  <si>
    <t>Secretaria Distrital de Gobierno -Calle 11 N° 8-17</t>
  </si>
  <si>
    <t>Temas de innovación en el marco de Smarcity Expo</t>
  </si>
  <si>
    <t>Devolución del PDD con Organizaciones de la Sociedad Civil</t>
  </si>
  <si>
    <t>Realizar la devolución de los contenidos del Plan Distrital de Desarrollo a las organizaciones de la sociedad civil que participaron en la formulación, en abril.</t>
  </si>
  <si>
    <t>Calle 92 # 11 – 51, Piso 10</t>
  </si>
  <si>
    <t>Contenidos del Plan Distrital de Desarrollo. Incidencia de la participación. Seguimiento participativo al Plan Distrital de desarrollo. Mecanismo de seguimiento.</t>
  </si>
  <si>
    <t>Omar Manuel Medina</t>
  </si>
  <si>
    <t>Gestión: Preparatoria devolución PDD - Población Migrante</t>
  </si>
  <si>
    <t>Coordinar los contenidos a presentar a las organizaciones de la población migrante que participaron en la formulación del PDD 2024-2027.</t>
  </si>
  <si>
    <t>Andrés Segura</t>
  </si>
  <si>
    <t>3157852948</t>
  </si>
  <si>
    <t>afsegura@alcaldiabogota.gov.co</t>
  </si>
  <si>
    <t xml:space="preserve">Metodología de devolución de la fase de reconocimiento a la acción colectiva con la Población Migrante Internacional </t>
  </si>
  <si>
    <t>Devolución ciudadana construcción PDD - Sector Occidente</t>
  </si>
  <si>
    <t>Diana Carolina Abril</t>
  </si>
  <si>
    <t>Calle 71 # 73a-44 Salón Azul Alcaldía Local de Engativá</t>
  </si>
  <si>
    <t>Plan Desarrollo Distrital, Proyectos Integrales de Proximidad Sector Occidente y Sistema de Participación Territorial</t>
  </si>
  <si>
    <t>Devolución ciudadana construcción PDD - UPL Sumapaz - Cuenca Rio Sumpaz - La Unión</t>
  </si>
  <si>
    <t xml:space="preserve">Salón comunal de la unión </t>
  </si>
  <si>
    <t>Metas del Plan Distrital de Desarrollo para la ruralidad: modelo de salud para la ruralidad, mejoramiento vial, generación de espacio público, mejoramiento de vivienda, entre otros. Adicionalmente, fueron presentados los Proyectos Integrales de Proximidad de la UPL Sumapaz.</t>
  </si>
  <si>
    <t>Devolución ciudadana construcción PDD - Sector Noroccidente</t>
  </si>
  <si>
    <t>Calle 136 # 145b-12</t>
  </si>
  <si>
    <t>Devolución y rendición de cuentas sobre los resultados de la participación en la formulación del Plan Distrital de Desarrollo.</t>
  </si>
  <si>
    <t>Devolución ciudadana construcción PDD - Organizaciones Población Migrante Internacional</t>
  </si>
  <si>
    <t>Realizar una devolución de los resultados del proceso de formulación del PDD a las organizaciones de población migrante en el marco de la fase 4 de la planeación participativa "Reconocimiento a la acción colectiva"</t>
  </si>
  <si>
    <t>Andres Segura</t>
  </si>
  <si>
    <t>1. Enfoque migratorio en las bases programáticas del Plan Distrital de Desarrollo. 2. Estrategias para la protección de la Población Migrante Internacional en situacion de vulnerabilidad.  3. Relación entre el Plan Distrital de Desarrollo y la Política Pública Distrital de Acogida, Inclusión y Desarrollo para los y las nuevas bogotanos (Población Migrante Internacional) 2023-2035"</t>
  </si>
  <si>
    <t xml:space="preserve">Reunión Asambleas Deliberativas componente pedagógico </t>
  </si>
  <si>
    <t>Trabajar en el proceso pedagógico para la meta asamblea deliberativa.</t>
  </si>
  <si>
    <t>Quinta Camacho</t>
  </si>
  <si>
    <t xml:space="preserve">Fundación corona </t>
  </si>
  <si>
    <t xml:space="preserve">Construcción del minuto a minuto de los 2 primeros días de las asambleas </t>
  </si>
  <si>
    <t>CLIP Santa fé</t>
  </si>
  <si>
    <t>Acompañar la articulación de los esfuerzos institucionales de participación en la localidad de Santa fé.</t>
  </si>
  <si>
    <t xml:space="preserve">Maria Fernanda Doncel Quintero </t>
  </si>
  <si>
    <t>Santa fe</t>
  </si>
  <si>
    <t xml:space="preserve">Dirección Local de Educación Cra 7 No. 22 - 44 piso 2 </t>
  </si>
  <si>
    <t>Busqueda activa programa de matriculas oficiales, Informe bogota distribuye lo local, Entornos escolares inspiradores, Encuesta de persepción IDPAC</t>
  </si>
  <si>
    <t>Planeación estratégica institucional - SDP Ofina de control interno disciplinario de la SDP</t>
  </si>
  <si>
    <t>SDP - piso 13 - Sala B</t>
  </si>
  <si>
    <t>Deliberar sobre la misión y visión de la SDP analizando Fortalezas, oportunidades, debilidades y amenazas desde la perspectiva del control disciplinario de la entidad.</t>
  </si>
  <si>
    <t>Gestión: Seguimiento sectorial</t>
  </si>
  <si>
    <t>Realizar segumiento a los enlaces sectoriales del SPT</t>
  </si>
  <si>
    <t>Sede CAD</t>
  </si>
  <si>
    <t>Avances y contenidos del SPT</t>
  </si>
  <si>
    <t xml:space="preserve">Capacitación Asistencia Técnica I </t>
  </si>
  <si>
    <t>Capacitar al equipo de políticas públicas y transversalización de enfoques en los procesos de asistencia técnica dirigida a sectores del Distrito para el diseño de estrategias metodológicas en la formulación  de políticas públicas Distritales.</t>
  </si>
  <si>
    <t>Secretaría Distrital de Planeación, Piso  8 Sala A</t>
  </si>
  <si>
    <t xml:space="preserve">Asistencia Técnica Estrategias de Participación para la etapa de formulación de políticas públicas </t>
  </si>
  <si>
    <t>Mesa Técnica UPL-PIP Alcaldía Local de Engativá</t>
  </si>
  <si>
    <t>Realizar una mesa técnica frente a la priorización de los PIP de la localidad y la estrategia de Presupuestos Participativos.</t>
  </si>
  <si>
    <t>3113406741</t>
  </si>
  <si>
    <t>Dar a conocer los lineamientos metodológicos y operativos que se deben considerar en los presupuestos participativos del Fondo de Desarrollo Local Engativá.</t>
  </si>
  <si>
    <t xml:space="preserve">Plenaria permanente CTPD </t>
  </si>
  <si>
    <t xml:space="preserve">Acompañar la plenaria permanente del CTPD </t>
  </si>
  <si>
    <t xml:space="preserve">presidentectpd2024@gmail.com </t>
  </si>
  <si>
    <t>Enlace de reunion</t>
  </si>
  <si>
    <t>Socialización de formulario de consentimiento informado para el tratamiento de datos personales de las y los consejeros del CTPD y Valoración de roles, estructura y gestión del CTPD y revisión de actas</t>
  </si>
  <si>
    <t>Julieth Montoya</t>
  </si>
  <si>
    <t>3246343206</t>
  </si>
  <si>
    <t>Sede Alcaldía Local de Betania</t>
  </si>
  <si>
    <t xml:space="preserve">Primero, Plan de Acción de la CLIP, el IDPAC solicita una sesión extraordinaria para presentar nuevos lineamientos. Segundo, fases y metodología de presupuestos participativos. Tercero, </t>
  </si>
  <si>
    <t xml:space="preserve">CLIP Extraordinaria Kennedy </t>
  </si>
  <si>
    <t>Acompañar la sesión extraordinaria para la articulación de los esfuerzos institucionales de participación en la localidad de Kennedy</t>
  </si>
  <si>
    <t xml:space="preserve">Presupuestos participativos </t>
  </si>
  <si>
    <t>CLIP extraordinaria Puente Aranda</t>
  </si>
  <si>
    <t>3156499699</t>
  </si>
  <si>
    <t>Proceso Presupuestos Participativos 2024 y Semana de la Participación Distrital</t>
  </si>
  <si>
    <t>Mesa Técnica Articulación PIPs y UPL FDL Fontibón</t>
  </si>
  <si>
    <t>Presentar los PIP priorizados con sus acciones en articulación con los FDL.</t>
  </si>
  <si>
    <t>Cra 99 #19-43 ALF</t>
  </si>
  <si>
    <t>Proyectos integrales de Proximidad, acciones de los PIP para presupuestos participativos y proyectos del plan desarrollo local</t>
  </si>
  <si>
    <t>alexander.castillo@gobiernobogota.gov.co</t>
  </si>
  <si>
    <t xml:space="preserve">Presupuestos particupatovos, compromisos Consejo Local de Gobierno </t>
  </si>
  <si>
    <t>Taller recolección de aportes barrio Doce de Octubre - AE Rionegro (Ruta RenoBo)</t>
  </si>
  <si>
    <t>Acompañar a RenoBo, con grupo focal de la comunidad barrio 12 de Octubre, una actividad de carácter pedagógico para la AE Rionegro.</t>
  </si>
  <si>
    <t>Juan Camilo Vargas</t>
  </si>
  <si>
    <t>Cra. 52 #74-61, Barrios Unidos</t>
  </si>
  <si>
    <t>Necesidades y oportunidades para el desarrollo urbano y normativo del Barrio 12 de Octubre, frente a la AE pieza 12 de Octubre.</t>
  </si>
  <si>
    <t>Gestión: Revisión productos apoyo SDP a la Semana Palenquera 2024</t>
  </si>
  <si>
    <t xml:space="preserve">Revisar los productos audiovisuales que se presentarán en la "Semana Palenquera 2024" en el marco del apoyo técnico de la OPDC a esta Conmemoración. </t>
  </si>
  <si>
    <t xml:space="preserve">Daniel Zapata </t>
  </si>
  <si>
    <t>3156632530</t>
  </si>
  <si>
    <t>Dzapata@sdp.gov.co</t>
  </si>
  <si>
    <t xml:space="preserve">Productos audiovisuales SDP para la Semana Palenquera </t>
  </si>
  <si>
    <t>Panel II Congreso Internacional de Administración Publica</t>
  </si>
  <si>
    <t>Panel II Congreso internacional deAdministración Publica</t>
  </si>
  <si>
    <t>ESAP</t>
  </si>
  <si>
    <t xml:space="preserve">Contextualizacion de que son las asambleas deliberativas </t>
  </si>
  <si>
    <t>SubComisión de Participación - CTPD</t>
  </si>
  <si>
    <t>Acompañar como Secretaría Técnica a la Comisión de Participación del CTPD.</t>
  </si>
  <si>
    <t>Dick Dario Díaz Melendez</t>
  </si>
  <si>
    <t>Se ultimaron detalles del foro de participación incluyente, que se va a realizar el sábado 05 de octubre. También debatieron sobre el análisis jurídico decreto 878 de 2023 y su decreto reglamentario decreto 580 de 2023 y el manifiesto por la participación.</t>
  </si>
  <si>
    <t>Mesa Técnica Articulación PIPs y UPL , FDL Localidad Santa Fe</t>
  </si>
  <si>
    <t xml:space="preserve">Socializar con la alcaldía local los proyectos integrales de proximidad que quedarán incluidos en los presupuestos participativos . </t>
  </si>
  <si>
    <t>Sin Informacion</t>
  </si>
  <si>
    <t>Santa Fé</t>
  </si>
  <si>
    <t>Alcaldía Local de Santa Fe, Cl 21 # 5-74</t>
  </si>
  <si>
    <t xml:space="preserve">Normatividad, definición de PIPS y proyectos para la localidad de santa fe </t>
  </si>
  <si>
    <t>Diálogos ciudadanos devolución PDD</t>
  </si>
  <si>
    <t>Acompañar la devolución PDD ejecutada por IDPAC.</t>
  </si>
  <si>
    <t>+57 305 3986582</t>
  </si>
  <si>
    <t xml:space="preserve">Salitre </t>
  </si>
  <si>
    <t>Avenida calle 22 N 68C-51</t>
  </si>
  <si>
    <t>Devolución PDD IDPAC a sus grupos de interes</t>
  </si>
  <si>
    <t>Apoyar a la comisión en el desarrollo de la sesión en la que se pretende organizar la actividad planteada en el plan de acción con la UNAD.</t>
  </si>
  <si>
    <t>Claudia Solorzano</t>
  </si>
  <si>
    <t>Se llevo a cabo la sesión con normalidad atendiendo el primer punto de la agenda de llamado a lista, no obstante al combrobar el quorum por falta de 6 personas no se pudo continuar con el desarrollo de la agenda.</t>
  </si>
  <si>
    <t>Acompañar la articulación de los esfuerzos institucionales de participación en la localidad de la Candelaria.</t>
  </si>
  <si>
    <t xml:space="preserve">Diana Alexandra Mutis Arcos </t>
  </si>
  <si>
    <t>Casa Comunitaria La Concordia (Calle 12 d # 3 - 22)</t>
  </si>
  <si>
    <t>Presupuestos participativos. - semana de la participación, - búsqueda activa de jóvenes desescolarizados</t>
  </si>
  <si>
    <t>Mesa técnica para la caracterización de sitios sagrados del Pueblo Muisca</t>
  </si>
  <si>
    <t>Realizar mesa técnica con la comunidad Muisca para el diligenciamiento de la ficha de caracterización de los sitios sagrados, Resolución 2664 de 2023.</t>
  </si>
  <si>
    <t>Pueblo Muisca de Bogotá</t>
  </si>
  <si>
    <t>Secretaria Distrital de Gobierno, Carrera 8#10-71</t>
  </si>
  <si>
    <t>Sistema de sitios sagrados Muisca; política pública para los pueblos indígenas, conpes 37; sistema de participación territorial</t>
  </si>
  <si>
    <t>Realizar seguimiento al avance en la entrega de las evidencias por parte de los sectores respecto de las actividades realizadas en marco de la fase 4</t>
  </si>
  <si>
    <t>Avance de la fase IV, Estrategia de Participación del Plan Distrital de Desarrollo.</t>
  </si>
  <si>
    <t xml:space="preserve">Mesa técnica articulación PIP + UPL Alcaldía Local de Usaquén </t>
  </si>
  <si>
    <t>Presentar y dar aclaración los aspectos principales de los PIP (Proyectos Integrales de Proximidad) priorizados en la Localidad de Usaquén.</t>
  </si>
  <si>
    <t xml:space="preserve">Tatiana Rojas </t>
  </si>
  <si>
    <t>3114989484</t>
  </si>
  <si>
    <t>tatianarojasm08@gmail.com</t>
  </si>
  <si>
    <t xml:space="preserve">Usaquén </t>
  </si>
  <si>
    <t>Cra. 6a #119B-05</t>
  </si>
  <si>
    <t>Marco normativo para la gestión local: Se discutió sobre el POT, los decretos distritales reglamentarios de las UPL y la circular CONFIS 04. Ruta "Transforma lo Local": Se presentó esta iniciativa, que detalla las intervenciones previstas a través de los Proyectos Integradores de Proximidad (PIP), ejecutados directamente por la administración distrital para alcanzar los objetivos estratégicos dentro del Plan Desarrollo Local. Estrategia de presupuestos participativos: Se explicó cómo la ciudadanía participa en la priorización de proyectos mediante un ejercicio de votación. Acciones basadas en las cinco dimensiones de la proximidad: Se socializaron las intervenciones planificadas para la localidad de Usaquén, bajo estas dimensiones.</t>
  </si>
  <si>
    <t>Mesa técnica articulación PIP + UPL Alcaldía Local de Kennedy</t>
  </si>
  <si>
    <t>Socializar las generalidades del modelo de ocupación territorial en su escala local (UPL) y exponer las acciones que conforman los PIP´S priorizados y que se evidenciaran a través de presupuestos participativos fase II.</t>
  </si>
  <si>
    <t>Fabian Eduardo Rodríguez Cristancho</t>
  </si>
  <si>
    <t xml:space="preserve"> 3192173863</t>
  </si>
  <si>
    <t>Participación y acciones especificas de los PIP de la Localidad de Bosa y Kennedy</t>
  </si>
  <si>
    <t>Mesa Técnica Articulación PIPs y UPL , FDL Localidad Mártires</t>
  </si>
  <si>
    <t>sin informacion</t>
  </si>
  <si>
    <t>Los martires</t>
  </si>
  <si>
    <t>Alcaldia local de Mártires</t>
  </si>
  <si>
    <t xml:space="preserve">Marco normativo,  qué son los PIPS, identificación de PIPS en la localidad </t>
  </si>
  <si>
    <t>Acompañar la articulación de los esfuerzos institucionales de participación en la localidad de San Cristóbal</t>
  </si>
  <si>
    <t>Heidy Natalie García</t>
  </si>
  <si>
    <t>3223280217</t>
  </si>
  <si>
    <t>CDC La Victoria - Calle 37 Bis B sur # 2 - 81 este, barrio la Victoria</t>
  </si>
  <si>
    <t>IDPAC - Socialización cronograma circular 022 de 2024 Presupuestos Participativos. IDPAC -semana de la participación.  ALCALDIA LOCAL - Presupuestos Participativos Fase 2. FUNDACION PLAN-Socialización estrategia búsqueda activa. INTEGRACION SOCIAL-Semana de la Participación. SECRETARIA DE HABITAT- Socialización y apertura de los barrios Amapolas y Amapolas II. CAJA DE VIVIENDA POPULAR- Feria de servicios. IDPAC-sensibilización de Presupuestos participativos.</t>
  </si>
  <si>
    <t>Pedagogia al Sector Público: SPT - PP Protección a moradores y actividades productivas</t>
  </si>
  <si>
    <t>Evaluar y analizar la Política de Moradores</t>
  </si>
  <si>
    <t>Articulación de la política de moradores con el sistema de participación territorial</t>
  </si>
  <si>
    <t>Mesa Tecnica articulación PIP + UPL FDL Ciudad Bolivar</t>
  </si>
  <si>
    <t>Olarte</t>
  </si>
  <si>
    <t>Dg. 62 Sur #20f-20</t>
  </si>
  <si>
    <t>Socialización  de los PIPS de Ciudad Bolívar</t>
  </si>
  <si>
    <t xml:space="preserve">Presentación clase "Análisis de dinámicas urbanas y territoriales" </t>
  </si>
  <si>
    <t>Presentar como invitados, el camino de la planeación participativa en el marco de la clase de "Análisis de dinámicas urbanas y territoriales".</t>
  </si>
  <si>
    <t>Universidad Externado de Colombia</t>
  </si>
  <si>
    <t>Se presento el camino de la planeación participativa en la SDP.</t>
  </si>
  <si>
    <t>AE Campín - 7 de Agosto Alcaldía Local Barrios Unidos</t>
  </si>
  <si>
    <t>Presentar y dar aclaración  los aspectos principales de la AE Campin – 7 de Agosto.</t>
  </si>
  <si>
    <t>Andrea Melissa Morales Cano</t>
  </si>
  <si>
    <t>Alcalde.Bunidos@gobiernobogota.gov.co</t>
  </si>
  <si>
    <t xml:space="preserve">Barrio Simón Bolivar </t>
  </si>
  <si>
    <t>Calle 74 A No. 63 - 04, Alcaldía Local Barrios Unidos</t>
  </si>
  <si>
    <t>Presentación de que son las Actuaciones Estratégicas, sus alcances, Objetivos de las actuaciones estratégicas, linea de vida de las actuaciones y las Actuaciones que se encuentran dentro de la UPL Barrios Unidos.</t>
  </si>
  <si>
    <t>Gestión: Acompañamiento a la apertura de la 5ta Conmemoración de la semana de la diáspora palenquera</t>
  </si>
  <si>
    <t>Acompañar a la comunidad palenquera en la apertura de la 5ta Conmemoración de la semana de la diáspora palenquera.</t>
  </si>
  <si>
    <t xml:space="preserve">Centro de Memoria, Paz y Reconciliación. Carrera 19b#24-86 </t>
  </si>
  <si>
    <t>Kuagro Monari di Palengue</t>
  </si>
  <si>
    <t>Mesa Tecnica articulación PIP + UPL FDL Barrios Unidos</t>
  </si>
  <si>
    <t>Presentar y dar aclaración los aspectos principales de los PIP (Proyectos Integrales de Proximidad) priorizados en la Localidad de Barrios Unidos.</t>
  </si>
  <si>
    <t>Barrio Simón Bolívar</t>
  </si>
  <si>
    <t>Calle 74 A No. 63 - 04, Alcaldía Local de Barrios Unidos</t>
  </si>
  <si>
    <t>Aspectos generales de los proyectos integrales de proximidad en la Localidad de Barrios Unidos, los 3 PIP que se tienen pensado desarrollar en la Localidad.</t>
  </si>
  <si>
    <t>Taller con asociacion de comerciantes de zona de alto impacto AE reencuentro</t>
  </si>
  <si>
    <t>Jose Antonio ramirez</t>
  </si>
  <si>
    <t>Comerciantes</t>
  </si>
  <si>
    <t>Universidad Innca</t>
  </si>
  <si>
    <t>Socializacion AE reencuentro, identificación de puntos cartografía social</t>
  </si>
  <si>
    <t>Articulación en acompañamiento a socialización de Estudios para la Reconstrucción y Ampliación del Puente en el Instituto para Niños Ciegos en la localidad de San Cristóbal</t>
  </si>
  <si>
    <t>Articulación en acompañamiento a socialización de la etapa de factibilidad del proyecto de Estudios para la Reconstrucción y Ampliación del Puente en el Instituto para Niños Ciegos en la localidad de San Cristóbal ubicado en la carrera 12 entre calles 11 sur y 13 sur.</t>
  </si>
  <si>
    <t>3156944009</t>
  </si>
  <si>
    <t>Calle 13 Sur # 14 - 61 este - Salón comunal Conjunto Residencial Punta del Este</t>
  </si>
  <si>
    <t>Se socializó las siguientes obras:  1. Circunvalar de Oriente desde el km cero hasta la Avenida los Comuneros  2. Avenida Primero de Mayo desde la Alcaldia Local hasta la Calle 11 sur  3. Puente Instituto para Niños Ciegos  4. Avenida La Victoria desde plan san Blas hasta la Victoria  5. Avenida Guacamayas desde la y hasta el barrio Guacamayas  6. Carrera sexta séptima y octava desde los comuneros hasta la calle primera.</t>
  </si>
  <si>
    <t>Mesa Técnica Articulación UPL-PIP Alcaldía Local de Suba</t>
  </si>
  <si>
    <t xml:space="preserve">cbarbosa@sdp.gov.co </t>
  </si>
  <si>
    <t>Alcadia de Suba Calle 146C Bis 90-57</t>
  </si>
  <si>
    <t>Marco normativo para la gestión local, La ciudad de la proximidad, Identificación de acciones PIP para Presupuestos Participativos.</t>
  </si>
  <si>
    <t>Gestión: sensibilización "Sembrado semillas"</t>
  </si>
  <si>
    <t>Pedagogía sobre el trabajo con grupos étnicos por parte de la Secretaría Distrital de Gobierno.</t>
  </si>
  <si>
    <t xml:space="preserve">David Cortes </t>
  </si>
  <si>
    <t>3159261429</t>
  </si>
  <si>
    <t>Piso 2. Súper CAD</t>
  </si>
  <si>
    <t>Protocolos de atención étnica.</t>
  </si>
  <si>
    <t xml:space="preserve">Reunión asambleas deliberativas componente pedagogía </t>
  </si>
  <si>
    <t xml:space="preserve">Construcción componente de pedagogía Asambleas Deliberativas </t>
  </si>
  <si>
    <t>Construcción componente pedagogía asambleas deliberativas</t>
  </si>
  <si>
    <t>Socialización PIP Centro Ampliado - Representante a la Cámara Alirio Uribe Muñoz</t>
  </si>
  <si>
    <t>Socializar los PIP establecidos y priorizados para el sector del Centro Ampliado, así como la ruta de participación ciudadana frente a este instrumento.</t>
  </si>
  <si>
    <t>Las Cruces - San Bernardo</t>
  </si>
  <si>
    <t>Cra. 7 #32-16, Piso 6</t>
  </si>
  <si>
    <t>Recuento de la mesa centro, predios disponibles por parte de la SAE</t>
  </si>
  <si>
    <t>Socializar el plan de desarrollo local y las propuestas dentro de los presupuestos participativos con los miembros de la CLIP de Usaquén.</t>
  </si>
  <si>
    <t>Lourdes Aleyda Guzmán Escandon</t>
  </si>
  <si>
    <t xml:space="preserve">Santa Barbara </t>
  </si>
  <si>
    <t>Calle 120 # 7-55</t>
  </si>
  <si>
    <t>Búsqueda activa de nuevas matrículas: Se revisaron estrategias en colaboración con la Fundación Plan y la Secretaría de Desarrollo Económico. Socialización del programa "Es Cultura Rural": Presentado por la Secretaría de Cultura, Recreación y Deporte. Revisión de las metas del Plan de Desarrollo Local: Socialización a cargo de la Alcaldía Local de Usaquén.</t>
  </si>
  <si>
    <t>Comité Ciudadano AEDA Fontibón</t>
  </si>
  <si>
    <t>Acompañar al comite ciudadano AEDA Fontibon a la sesion del mes de octubre</t>
  </si>
  <si>
    <t>SuperCADE</t>
  </si>
  <si>
    <t>Metodología AEDA Fontibón y acciones presupuestos participativos para PIP.</t>
  </si>
  <si>
    <t>Gestión: seguimiento a Sector General - Compromisos escenario especializado</t>
  </si>
  <si>
    <t>Hacer seguimiento a compromisos del plan de acción sobre escenario especializado de victimas de conflicto armado.</t>
  </si>
  <si>
    <t>Jonathan Aroca</t>
  </si>
  <si>
    <t>3138697103</t>
  </si>
  <si>
    <t>ejaroca@alcaldiabogota.gov.co</t>
  </si>
  <si>
    <t>Alcaldía mayor de Bogotá (Cra. 8 No. 10 - 65) edificio bicentenario, 1 sala de juntas consejería de paz.</t>
  </si>
  <si>
    <t>Compromisos de acciones del escenario especializado y la posibilidad de articulación con gobierno abierto para el SPT</t>
  </si>
  <si>
    <t>Plenaria extraordinaria - CTPD</t>
  </si>
  <si>
    <t>Acompañar la plenaria extraordinaria del CTPD</t>
  </si>
  <si>
    <t>Av Cra 30 # 25 90</t>
  </si>
  <si>
    <t xml:space="preserve">Asambleas deliberativas y bolsa logística </t>
  </si>
  <si>
    <t>Foro CTPD Participación Incluyente</t>
  </si>
  <si>
    <t>Acompañar como Secretaría Técnica a la Comisión de Participación en sus evento.</t>
  </si>
  <si>
    <t>Universidad ECCI - Calle 20 #9-45</t>
  </si>
  <si>
    <t>Se realizarón las exposiciones del los representantes de entidades del Distrito: Secretaría de Gobierno, IDPAC, SDP-OPDC</t>
  </si>
  <si>
    <t>Feria Institucional de servicios para motociclistas - POT</t>
  </si>
  <si>
    <t xml:space="preserve">Acompañar la socializar el plan de ordenamiento territorial al grupo de motociclistas </t>
  </si>
  <si>
    <t xml:space="preserve"> Cindy Paola Garcia Buitrago</t>
  </si>
  <si>
    <t>3154444446</t>
  </si>
  <si>
    <t>cpgarcia@movilidadbogota.gov.co</t>
  </si>
  <si>
    <t>Calle 23 No. 72a - 80</t>
  </si>
  <si>
    <t xml:space="preserve">Explicación del plan distrital de desarrollo. Información sobre sistemas de participación. </t>
  </si>
  <si>
    <t>Gestión: Conmemoración de la Semana Palenquera: Día de la familia palenquera</t>
  </si>
  <si>
    <t>Acompañar la clausura de la Semana Palenquera en Bogotá</t>
  </si>
  <si>
    <t>Yomaira Valdés</t>
  </si>
  <si>
    <t>3219004167</t>
  </si>
  <si>
    <t>Parque Marsella (Localidad de Kennedy): Transversal 70 #9a-73</t>
  </si>
  <si>
    <t xml:space="preserve">Celebración del día de la familia palenquera </t>
  </si>
  <si>
    <t>Mesa Técnica Articulación PIPs y UPL , FDL Localidad San Cristóbal</t>
  </si>
  <si>
    <t>Socializar con la alcaldía local los proyectos integrales de proximidad que quedarán incluidos en los presupuestos participativos.</t>
  </si>
  <si>
    <t xml:space="preserve">Jose Miguel Perez </t>
  </si>
  <si>
    <t xml:space="preserve"> Socializar con la alcaldía local los proyectos integrales de proximidad que quedarán incluidos en los presupuestos participativos.</t>
  </si>
  <si>
    <t>Retroalimentación Evidencias SPT-POT</t>
  </si>
  <si>
    <t xml:space="preserve">Desarrollar retroalimentación de las evidencias presentadas en el sistema de participación territorial </t>
  </si>
  <si>
    <t xml:space="preserve">Carlos García </t>
  </si>
  <si>
    <t>3214954291</t>
  </si>
  <si>
    <t>Carlos.garcia@scrd.gov.co</t>
  </si>
  <si>
    <t>Evidencias 3 trimestre del sistema de participación territorial.</t>
  </si>
  <si>
    <t>Gestión: Sesión de planeación equipo metodológico</t>
  </si>
  <si>
    <t>Construir la planeación del equipo metodológico para los meses restantes</t>
  </si>
  <si>
    <t>Sala CTPD</t>
  </si>
  <si>
    <t>Planeación trimestre final 2024 - Equipo metodológico.</t>
  </si>
  <si>
    <t>Dialogo Plaza Samper Mendoza- AE reencuentro (RENOBO)</t>
  </si>
  <si>
    <t xml:space="preserve">Recopilar información para AE del reencuentro </t>
  </si>
  <si>
    <t>Jose antonio Ramirez</t>
  </si>
  <si>
    <t>Plaza de mercado samper mendoza</t>
  </si>
  <si>
    <t>Socialización AE reencuentro.</t>
  </si>
  <si>
    <t>CILP Engativá</t>
  </si>
  <si>
    <t>Calle 71 # 73A-44</t>
  </si>
  <si>
    <t xml:space="preserve">Se abordaron temas de presupuestaos participativos que están ligados al Plan de Desarrollo Local proyectado por la Administración. </t>
  </si>
  <si>
    <t>Gestión: Consejería de Paz y SDP</t>
  </si>
  <si>
    <t>Capacitar a la Dirección de Paz sobre los contenidos del SPT</t>
  </si>
  <si>
    <t>María Mónica Montealegre</t>
  </si>
  <si>
    <t>Secretaría Distrital de Planeación 5 piso</t>
  </si>
  <si>
    <t>Capacitación a la Dirección de Paz sobre los contenidos del SPT y los PIP del Sector Rural.</t>
  </si>
  <si>
    <t>Mesa Técnica Articulación PIPs y UPL , FDL Localidad Rafael Uribe</t>
  </si>
  <si>
    <t>Presentación de los planes integrales de próximidad a funcionarios de la Alcaldía Local de Rafael Uribe Uribe</t>
  </si>
  <si>
    <t>310 5637717</t>
  </si>
  <si>
    <t>Jose.perez@sdp.gov.co</t>
  </si>
  <si>
    <t>Se socializaron los articulos que establecen los PIPS para Rafael Uribe, los espacios y se llega a acuerdos de como se van a establecer las prioridades de su implementación sobre el ejercicio de presupuestos participativos.</t>
  </si>
  <si>
    <t>Mesa técnica articulación PIP + UPL Alcaldía Local de Bosa</t>
  </si>
  <si>
    <t>Presentación de los planes integrales de próximidad a funcionarios de la Alcaldía Local de Bosa</t>
  </si>
  <si>
    <t xml:space="preserve">Fabian Eduardo Rodríguez </t>
  </si>
  <si>
    <t>Alcaldía Local de Bosa (Carrera 80 I No. 61 - 05 Sur)</t>
  </si>
  <si>
    <t>Participación y acciones especificas de los PIP de la Localidad de Bosa.</t>
  </si>
  <si>
    <t>JAL Tunjuelito - Presupuestos Participativos</t>
  </si>
  <si>
    <t>Acompañar sesión del mes de Octubre de la JAL por requerimiento de la Junta Administradora Local.</t>
  </si>
  <si>
    <t xml:space="preserve">Sindy Vivianda Castiblanco </t>
  </si>
  <si>
    <t>5554848</t>
  </si>
  <si>
    <t>Jaltunjuelito@gmail.com</t>
  </si>
  <si>
    <t xml:space="preserve">Alcaldía Local de Tunjuelito
Diagonal 50 A 18-48 </t>
  </si>
  <si>
    <t>Se llevo acabo desde la dirección de Programación, Seguimiento a la Inversión y Planes de Desarrollo Local.</t>
  </si>
  <si>
    <t xml:space="preserve">CLIP Chapinero </t>
  </si>
  <si>
    <t xml:space="preserve">Alejandro Hernández </t>
  </si>
  <si>
    <t>Cra 13 N 54-78</t>
  </si>
  <si>
    <t>Presupuestos participativos agendas y metodología para presentar propuestas, Asambleas deliverativas.</t>
  </si>
  <si>
    <t>Articulación y acompañamiento a Fundación Grupo social -UPL Tibabuyes</t>
  </si>
  <si>
    <t xml:space="preserve">Acompañar y articular con la Fundación Grupo Social el tema de diseño de planes estrategicos en la zona de Bilbao y Tibabuyes Occidental de la UPL Tibabuyes. </t>
  </si>
  <si>
    <t xml:space="preserve">Ximena Torres - Fundación Grupo Social </t>
  </si>
  <si>
    <t>3115769622</t>
  </si>
  <si>
    <t>ctorres@fgs.co</t>
  </si>
  <si>
    <t xml:space="preserve">Trinitaria </t>
  </si>
  <si>
    <t>Carrera 100 # 136 - 22</t>
  </si>
  <si>
    <t>Socializacion proyectos sociales en ejecución en el barrio Bilbao de la UPL Tibabuyes.</t>
  </si>
  <si>
    <t>Acompañar la articulación de los esfuerzos institucionales de participación en la localidad de Fontibón.</t>
  </si>
  <si>
    <t>Alcaldía local de Fontibon</t>
  </si>
  <si>
    <t>AE Montevideo, Presupuestos Participativos y Búsqueda activa matriculas educativas.</t>
  </si>
  <si>
    <t>Presentación Iniciativa Asuntos del Sur</t>
  </si>
  <si>
    <t>Presentar ante el jurado la iniciativa postulada al premio "Reconocimiento a la Acción Colectiva" de la organización Asuntos del sur.</t>
  </si>
  <si>
    <t>Se presento ante el jurado de Asuntos del Sur la Estrategia de Participación del PDD "Bogotá Camina Segura".</t>
  </si>
  <si>
    <t xml:space="preserve"> Sistema de Participación Territorial - CAL </t>
  </si>
  <si>
    <t>Socializar el Sistema de Participacion Territorial en la Comisión Ambiental Local</t>
  </si>
  <si>
    <t xml:space="preserve">Gerardo Rodriguez </t>
  </si>
  <si>
    <t>31442507090</t>
  </si>
  <si>
    <t>grodriguez@sdp.gov.co</t>
  </si>
  <si>
    <t xml:space="preserve">Sistema de Participación Territorial en la Comisión Ambiental Local </t>
  </si>
  <si>
    <t>Sistema de Participación Territorial - Movilidad</t>
  </si>
  <si>
    <t>Conocer por parte de la Secretaria de Movilidad la forma de reporte del Plan de Acción Anual del Sistema Distrital de Participación y su retroactividad.</t>
  </si>
  <si>
    <t>Secretaria de movilidad</t>
  </si>
  <si>
    <t>3506316762</t>
  </si>
  <si>
    <t>lagudelo@movilidadbogota.gov.co</t>
  </si>
  <si>
    <t>Se convoca a esta reunión virtual con el objetivo de conocer por parte de la Secretaria de Movilidad la forma de reporte del Plan de Acción Anual del Sistema Distrital de Participación y su retroactividad.</t>
  </si>
  <si>
    <t xml:space="preserve">Secretaria de Seguridad - Asistencia Tecnica Herramientas Metodológicas </t>
  </si>
  <si>
    <t>Realizar asistencia técnica en herramientas metodológicas para la formulación de políticas públicas, dorigida al sector seguridad.</t>
  </si>
  <si>
    <t>Secretaria de Seguridad</t>
  </si>
  <si>
    <t xml:space="preserve">Asistencia Técnica Especializada en Diseño Metodológico para formulación de políticas públicas </t>
  </si>
  <si>
    <t>Acompañar la articulación de los esfuerzos institucionales de participación en la localidad de Teusaquillo</t>
  </si>
  <si>
    <t>jose humberto pedraza angel</t>
  </si>
  <si>
    <t>transversal 18 bis No. 18 — 41</t>
  </si>
  <si>
    <t>Intervención del CPL, actualización del calendario de instancias y socialización de las asambleas deliberativas SDP - OPDC.</t>
  </si>
  <si>
    <t>Jaime Eduardo Martínez Castro</t>
  </si>
  <si>
    <t>Alcaldía Local Usme</t>
  </si>
  <si>
    <t>Socialización alcaldía local presupuestos participativos - IDPAC portafolio de servicios.</t>
  </si>
  <si>
    <t xml:space="preserve">Dar respuesta a los requerimientos y preguntas de la Comisión POT surgidas en el espacio “El Habitar el territorio, conversemos sobre el Plan de Ordenamiento Territorial y su impacto en la vida cotidiana” en torno a Centro Ampliado </t>
  </si>
  <si>
    <t>María Angélica Higuera</t>
  </si>
  <si>
    <t>kharmino@gmail.com</t>
  </si>
  <si>
    <t>Se realizo una contextualización de las preguntas surgidas en el espacio liderado por la comisión POT "El Habitar el Territorio..." alrededor de Centro Histórico y Puente Aranda, se establecio un diálogo entre la subdirección de Centro Ampliado y la Comisión POT. Se inició la gestión para los talleres de planeación para CPL Y JAL - Puente Aranda.</t>
  </si>
  <si>
    <t>Realizar cierre al seguimiento de los sectores y sus actividades en lo que respecta a la fase 4 - devolución</t>
  </si>
  <si>
    <t>Se discutió el cierre de la Fase 4 de devolución con los enlaces y sectores y se compartió el documento donde se va a recoger la información final.</t>
  </si>
  <si>
    <t>msoler@participacionbogota.gov.co</t>
  </si>
  <si>
    <t>Cl. 14 Sur 24i-19</t>
  </si>
  <si>
    <t>Presupuestos participativos, semana de la participación y sensibilización de estereotipos de género en instancias de participación.</t>
  </si>
  <si>
    <t>Jimmy Martinez</t>
  </si>
  <si>
    <t>jaimecroydon12@gmail.com</t>
  </si>
  <si>
    <t>Alcaldia Local Ciudad Bolivar</t>
  </si>
  <si>
    <t>Se hace informe de presupuestos participativos, IDAPAC habla  la racionalizacion de instancias.</t>
  </si>
  <si>
    <t>Gestión: Reunión preparatoria Devolución PDD medios comunitarios</t>
  </si>
  <si>
    <t>Socializar con las entidades y dependencias con responsabilidad en el tema del PDD con medios comunitarios la metodología y desarrollo de la actividad de Diálogo.</t>
  </si>
  <si>
    <t>Socialización de la metodología para el diálogo sobre el PCB con Medios Comunitarios.</t>
  </si>
  <si>
    <t>Comisión Participación CTPD</t>
  </si>
  <si>
    <t>Acompañar y prestar apoyo como Secretaría Técnica, a la Comisión de Participación del CTPD.</t>
  </si>
  <si>
    <t>El Departamento Nacional de Planeación, expuso sobre Decreto Planeación Participativa.</t>
  </si>
  <si>
    <t>Presentación AE Pieza Reencuentro CCB</t>
  </si>
  <si>
    <t>Socializacion de AE Pieza reencuentro con comerciantes</t>
  </si>
  <si>
    <t>Camara de Comercio sede Salitre Av. El Dorado #68d-35 piso 1 - sala 6</t>
  </si>
  <si>
    <t>Socialziación AE reencuentro- funciones del operador RENOBO.</t>
  </si>
  <si>
    <t>Narrativa Marca Bogota Ciudad Portuaria</t>
  </si>
  <si>
    <t>Presentar los avances de la estrategia de participación en torno a la estrategia de marca ciudad portuaria y aclarar alcances desde la SDP.</t>
  </si>
  <si>
    <t>Cynthia Benitez</t>
  </si>
  <si>
    <t>310 3218366</t>
  </si>
  <si>
    <t>Super CADE piso 5 sala B</t>
  </si>
  <si>
    <t>Presentación general de la estrategia de comunicaciones, presentación del borrador de la estrategia de participación</t>
  </si>
  <si>
    <t>Participación y acciones específicas de los PIP de la localidad de USME</t>
  </si>
  <si>
    <t>Gestión: Taller Construcción Narrativa de Usme</t>
  </si>
  <si>
    <t>Articulación institucional frente a la oferta de programas y proyectos en la ruralidad de Usme, como ejercicio piloto para la ruralidad de Bogotá.</t>
  </si>
  <si>
    <t>Juan Daniel Ramirez</t>
  </si>
  <si>
    <t>jdramirezp@sdis.gov.co</t>
  </si>
  <si>
    <t xml:space="preserve">Ruralidad de Usme </t>
  </si>
  <si>
    <t>Centro Día San David (Usme), calle 87 sur con carrera 7 Bis Este</t>
  </si>
  <si>
    <t xml:space="preserve">Definición de los bordess urbano-rurales y discusión de la narrativa para las Transforaciones Rurales Integrales (TRI). </t>
  </si>
  <si>
    <t>Gestión: Mesa de trabajo preparatoria devolución PDD Consejo Consultivo-SDmujer y SDP</t>
  </si>
  <si>
    <t>SDMujer</t>
  </si>
  <si>
    <t>3169001</t>
  </si>
  <si>
    <t>servicioalaciudadania@sdmujer.gov.co</t>
  </si>
  <si>
    <t xml:space="preserve">AE Rionegro - Mesa aportes comerciantes Plaza Doce de Octubre  </t>
  </si>
  <si>
    <t>Andrés Castro Latorre</t>
  </si>
  <si>
    <t xml:space="preserve">Juan Camilo Vargas </t>
  </si>
  <si>
    <t>3503698270</t>
  </si>
  <si>
    <t>12 de Octubre</t>
  </si>
  <si>
    <t>Cra. 51 #72-13, Plaza 12 de Octubre</t>
  </si>
  <si>
    <t>Directrices de la AE Rionegro, oportunidades para la formulación de AE Rionegro entorno a las y los vivinderos de la Plaza del 12 de Octubre. Socialización de los pilares de reverdecimiento, servicios y bienestar, movilidad sostenible para la AE Rionegro.</t>
  </si>
  <si>
    <t>Mesa Técnica Articulación PIPs y UPL , FDL Localidad Usme</t>
  </si>
  <si>
    <t>CLIP Ectraordinaria Tunjuelito</t>
  </si>
  <si>
    <t>Jessica Marcela Pita Casteblanco</t>
  </si>
  <si>
    <t xml:space="preserve">Información de diálogos generales y diálogos diferenciales </t>
  </si>
  <si>
    <t>Socialización Asambleas Deliberativas con el Comité Ciudadano AEDA Fontibon</t>
  </si>
  <si>
    <t>Socializar el objetivo de las asambleas deliberativas con el comité ciudadano AEDA Fontibon y atender inquietudes</t>
  </si>
  <si>
    <t xml:space="preserve">José Perdomo </t>
  </si>
  <si>
    <t>3133631892</t>
  </si>
  <si>
    <t>Jperdomo@sdp.gov.co</t>
  </si>
  <si>
    <t xml:space="preserve">Asamblea deliberativas, temas a tratar, periodicidad y modo de selección </t>
  </si>
  <si>
    <t>segunda Mesa técnica de articulación PIPs Rafael Uribe</t>
  </si>
  <si>
    <t>Articulación entre la Alcaldía Local de Rafael Uribe Uribe y la Subdirección sur oriente.</t>
  </si>
  <si>
    <t>Alcaldia Local de Rafael Uribe Uribe</t>
  </si>
  <si>
    <t>Se hace la revision de los Pips determinados para la localidad de Rafael Uribe y se coteja contra los espacios que cuentan con estudios y diseños con el fin de determinar los espacios que quedaran al ejercicio de presupuestos participativos.</t>
  </si>
  <si>
    <t>Mesa Técnica Articulación PIPs FDL Localidad Puente Aranda</t>
  </si>
  <si>
    <t>Articulacion de los PIPS con los Presupuestos Participativos localidad de Puente Aranda</t>
  </si>
  <si>
    <t xml:space="preserve">Martha Milena Avila De La Hoz  </t>
  </si>
  <si>
    <t>Carrera 31 D N. 4 - 05 Alcaldía Local de Puente Aranda</t>
  </si>
  <si>
    <t>PIPs Priorizados Puente Aranda y Presupuestos Participativos.</t>
  </si>
  <si>
    <t>Segundo Sorteo Para Selección Meta Asamblea Deliberativa De Bogotá</t>
  </si>
  <si>
    <t>se generaron las vacancias en estos 8 cupos, por lo que se requiere adelantar un nuevo sorteo con quienes se encuentran en la lista de elegibles habilitadas para estos cupos.</t>
  </si>
  <si>
    <t>Segundo sorteo MAD</t>
  </si>
  <si>
    <t>Devolución Poblacional del Plan Distrital de Desarrollo con el Consejo Consultivo de Mujeres-CCM</t>
  </si>
  <si>
    <t>Realizar la devolución y rendición de cuentas sobre los resultados de la participación en la formulación del Plan Distrital de Desarrollo y la Socialización del acuerdo adoptado con miras a promover la confianza, apropiación y corresponsabilidad para la futura implementación del Plan.</t>
  </si>
  <si>
    <t>CIOM Teusaquillo</t>
  </si>
  <si>
    <t>Brindar apoyo a la SDMujer en el proceso de Devolución del Plan Distrital de Desarrollo al Consejo Consultivo de Mujeres. Socialización de la estructura y el Plan Plurianual de Inversión del Plan Distrital de Desarrollo.</t>
  </si>
  <si>
    <t>Alcaldía Local de Puente Aranda</t>
  </si>
  <si>
    <t>Presupuestos Participativos, Semana de la Participación Asambleas Deliberativas RENOBO Montevideo.</t>
  </si>
  <si>
    <t>Segundo Diálogo ciudadano - Participación en el PDD Sector Mujer</t>
  </si>
  <si>
    <t>Rendir cuentas sobre el avance del proceso de participación en el marco del PDD Sector mujer.</t>
  </si>
  <si>
    <t>Jineth Liliana García Larrota</t>
  </si>
  <si>
    <t>jgarcia@sdmjer.gov.co</t>
  </si>
  <si>
    <t>Casa de todas, ubicada en la calle 27 a # 24 - 30 piso tres.</t>
  </si>
  <si>
    <t>Rendir cuentas sobre resultados estrategia de participación, avances de gestión, actores participantes, Chatico, ruta del PDD y resultado final de logros colectivos del sector mujer y recursos del orden distrital.</t>
  </si>
  <si>
    <t xml:space="preserve">Segunda Mesa Técnica Articulación PIPs y UPL , FDL Localidad Santa Fe </t>
  </si>
  <si>
    <t xml:space="preserve">Articulacion de  los PIPS con los presupuestos participativos de la localidad santa fe </t>
  </si>
  <si>
    <t xml:space="preserve">Martha Ávila </t>
  </si>
  <si>
    <t xml:space="preserve">Alcaldía local de santa fe </t>
  </si>
  <si>
    <t>Resolución de dudas frente a los PIPS.</t>
  </si>
  <si>
    <t>Definición de instrumentos y Metodología de Sistematización de Relatorías Meta Asamblea Deliberativas</t>
  </si>
  <si>
    <t>Definición de instrumentos y Metodología de Sistematización de Relatorías Meta Asamblea Deliberativas.</t>
  </si>
  <si>
    <t>Presentación metodología  de la relatoria para la asambleas deliberativas.</t>
  </si>
  <si>
    <t>Presentación del Sistema de Participación Territorial STP-POT_OAP de la SDG y SDP-OPDC</t>
  </si>
  <si>
    <t>Aclarar accione  por solicitud de la SDG para revisar competencias, expectativas y responsabilidades en el marco del Sistema de Participación Territorial STP-POT.</t>
  </si>
  <si>
    <t xml:space="preserve">Diego Figueroa </t>
  </si>
  <si>
    <t>3153670471</t>
  </si>
  <si>
    <t>diego.guerra@gobiernobogota.gov.co</t>
  </si>
  <si>
    <t xml:space="preserve">Alcaldia </t>
  </si>
  <si>
    <t xml:space="preserve">Socialización y acuerdos de la STP- a la Oficina Asesora de Planeación de la Secretaria Distrital de Gobierno </t>
  </si>
  <si>
    <t>Comisión accidental de comunicaciones - CTPD</t>
  </si>
  <si>
    <t>Revisar el link de evaluación a junta directiva y coordinadores de comisión.</t>
  </si>
  <si>
    <t>Angela Marcela Acosta</t>
  </si>
  <si>
    <t>311 5196047</t>
  </si>
  <si>
    <t xml:space="preserve">secretariageneralctpd2024@gmail.com </t>
  </si>
  <si>
    <t>Formulario de evaluación y taller de fortalecimiento a inteligencia emocional.</t>
  </si>
  <si>
    <t>Estrategia de Participación - Servicios Públicos</t>
  </si>
  <si>
    <t>Servicios Públicos</t>
  </si>
  <si>
    <t>Acompañar  la subdirección de Planes Maestros en la definición de la estrategia de participación - servicios públicos.</t>
  </si>
  <si>
    <t xml:space="preserve">Nasly Sosa </t>
  </si>
  <si>
    <t>nsosa@sdp.gov.co</t>
  </si>
  <si>
    <t xml:space="preserve">Cronograma vigencia 2024 actividades realizadas y por realizar. Rol y apoyo de la OPDC frente a la estrategia. evidencias de las actividades a realizar  </t>
  </si>
  <si>
    <t>Reunión de preparación para evento CTPD 2 de noviembre</t>
  </si>
  <si>
    <t>Revisar y ajustar los detalles para el evento del CTPD del 2 de noviembre con el apoyo del convenio de la UNAD.</t>
  </si>
  <si>
    <t>Angela Acosta Hermosa</t>
  </si>
  <si>
    <t xml:space="preserve"> 3115196047</t>
  </si>
  <si>
    <t>secretariageneralctpd2024@gmail.com</t>
  </si>
  <si>
    <t xml:space="preserve">Se determinó el apoyo de la UNAD en el marco del convenio, para la realizacion de un evento del CTPD el 2 de noviembre. Apoyaran mediante la gesrion del espacio y el desarrollo de un taller de habilidades blandas dirigidos hacia los consejeros del CTPD. </t>
  </si>
  <si>
    <t xml:space="preserve">Mesa de trabajo Asambleas Deliberativas Comision de Participación </t>
  </si>
  <si>
    <t xml:space="preserve">El profesional de la OPDC Freddy Martínez, expone sobre las Asambleas Deliberativas, posteriormente escucha los cuestionamientos de los consejeros y procede a responder, así mismo informa que se necesitan cuatro integrantes del CTPD para de veedores en las asambleas. </t>
  </si>
  <si>
    <t xml:space="preserve">Avanzada de pedagogía comunidad campesina </t>
  </si>
  <si>
    <t>Adelantar jornada de pedagogía con asambleístas del campesinado, que tienen dificultades horarias por entrega de mercados.</t>
  </si>
  <si>
    <t>Vereda Oasis</t>
  </si>
  <si>
    <t xml:space="preserve">Vereda Verjon, finca Oasis </t>
  </si>
  <si>
    <t>Contexto Meta Asamblea, explicación del desarrollo de los 4 días, pedagogía sobre la iniciativa, precisiones logísticas.</t>
  </si>
  <si>
    <t>Devolución PDD Medios Comunitarios</t>
  </si>
  <si>
    <t>Fortalecer la participación de los medios comunitarios como actores clave en la comunicación local, promover su liderazgo en la difusión y apropiación del Plan Distrital de Desarrollo ‘Bogotá Camina Segura’. Esto facilitará un acceso equitativo y eficiente a la información, impulsando la participación ciudadana activa y el desarrollo inclusivo de las comunidades.</t>
  </si>
  <si>
    <t>Medios de comunicación alternativos</t>
  </si>
  <si>
    <t>Av. Cra. 30 #25-90 Piso 2 CTPD</t>
  </si>
  <si>
    <t>Artículos del PDD relacionados con medios comunitarios, participación de los medios comunitarios en temas de presupuestos participativos, así como en el CONFIS y demás escenarios de participación que permite el PDD en el marco de los medios comunitarios con temas como pautas y como industrias creativas.</t>
  </si>
  <si>
    <t>Recorrido PIPs Mártires</t>
  </si>
  <si>
    <t>Identificación conjunta de puntos críticos en la localidad de martires.</t>
  </si>
  <si>
    <t>Mártires</t>
  </si>
  <si>
    <t xml:space="preserve">Alcaldía Local de Mártires </t>
  </si>
  <si>
    <t>Identificación de puntos PIPS ( Plaza martires, la pepita y voto popular).</t>
  </si>
  <si>
    <t>Gestión acompañamiento mesa de Seguimiento Ágora Metropolitana RMBC</t>
  </si>
  <si>
    <t>Mesa de Seguimiento Ágora Metropolitana RMBC.</t>
  </si>
  <si>
    <t>avenida calle 26#57-83</t>
  </si>
  <si>
    <t>Se socializó el formulario de caracterización para realizar la invitación a las mesas de trabajo de Agora Metropolitana, se estableció la fecha para realizar la mesa el 27 de noviembre.</t>
  </si>
  <si>
    <t>CLIP  Barrios Unidos</t>
  </si>
  <si>
    <t xml:space="preserve">Acompañar la articulación de los esfuerzos institucionales de participación en la localidad de Barrios Unidos. 
</t>
  </si>
  <si>
    <t>Nilsson Ameedd Pasachoa</t>
  </si>
  <si>
    <t>Cra. 29b #66-51 (Casa de la Cultura Localidad Barrios Unidos)</t>
  </si>
  <si>
    <t>Contexto, objetivos, fases de Asambleas deliberativas, agenda de presupuestos participativos.</t>
  </si>
  <si>
    <t>Acompañar la articulación de los esfuerzos institucionales de participación en la localidad de Kennedy.</t>
  </si>
  <si>
    <t>kennedy</t>
  </si>
  <si>
    <t>Servicios Secretaría Desarrollo Económico, Política Pública Participacion Incidente, Asambleas deliberativa.</t>
  </si>
  <si>
    <t>Capacitación de Asambleas Deliberativas</t>
  </si>
  <si>
    <t>Brindar capacitación del minuto a minuto de las Asambleas Deliberativas.</t>
  </si>
  <si>
    <t>Auditorio Segundo Piso CAD</t>
  </si>
  <si>
    <t>Capacitación del minuto a minuto de las Asambleas Deliberativas.</t>
  </si>
  <si>
    <t>Segunda Mesa Técnica Articulación UPL-PIP Alcaldía Local de Suba</t>
  </si>
  <si>
    <t>Articulacion de los PIPS con los Presupuestos Participativos localidad de Suba.</t>
  </si>
  <si>
    <t xml:space="preserve"> cbarbosa@sdp.gov.co </t>
  </si>
  <si>
    <t xml:space="preserve">Suba </t>
  </si>
  <si>
    <t xml:space="preserve">Alcaldia Local de Suba </t>
  </si>
  <si>
    <t>Articulación PIP  Localidad de Suba , Presupuestos participativos.</t>
  </si>
  <si>
    <t>Comité Técnico - CTPD</t>
  </si>
  <si>
    <t>Realizar el seguimiento al convenio 339 de 2024.</t>
  </si>
  <si>
    <t>Carrera 30 Nº 26-90  - Piso 8</t>
  </si>
  <si>
    <t>Se abordó la aprobación del acta anterior, las actividades realizadas en el marco del convenio, y propuestas para el desarrollo de nuevos eventos coordinados con la UNAD.</t>
  </si>
  <si>
    <t>Reunión Integración Social - Apoyo Niños, Niñas y Adolescentes</t>
  </si>
  <si>
    <t>Apoyo Niños, Niñas y Adolescentes.</t>
  </si>
  <si>
    <t>Apoyo NNA Asambleas Deliberativas.</t>
  </si>
  <si>
    <t>Revision acciones FDLPA PIPS - Presupuestos Participativos</t>
  </si>
  <si>
    <t>Revisar las acciones desde el FDLPA que tendrían relación con las PIPs y PP.</t>
  </si>
  <si>
    <t xml:space="preserve"> mavilad@sdp.gov.co</t>
  </si>
  <si>
    <t xml:space="preserve">virtual </t>
  </si>
  <si>
    <t>Revisión de las acciones identificadas por el FDLPA</t>
  </si>
  <si>
    <t>Acompañar la articulación de los esfuerzos institucionales de participación en la localidad de Suba.</t>
  </si>
  <si>
    <t xml:space="preserve">Maria Imelda Romero </t>
  </si>
  <si>
    <t>3125447851</t>
  </si>
  <si>
    <t xml:space="preserve">Calle 146 C Bis No. 90 - 57 Alcaldia de Suba </t>
  </si>
  <si>
    <t>Asambleas Deliberativas, presupuestos Participativos</t>
  </si>
  <si>
    <t>Alistamiento Meta Asamblea Veeduría Distrital</t>
  </si>
  <si>
    <t>Realizar un balance de preparación de la meta asamblea deliberativa a con la veeduría distrital.</t>
  </si>
  <si>
    <t>Temas de alistamiento y preparación para el acompañamiento de la Veeduría Distrital a la Meta Asamblea Deliberativa 2024: Convocatoria, selección y sorteo, objetivos, misión, alcance, metodologías de formación y devolución.</t>
  </si>
  <si>
    <t>Sub Comisión de Participación CTPD</t>
  </si>
  <si>
    <t xml:space="preserve">Se discutió sobre las asambleas deliberativas y se eligieron los representes veedores de la comisión para las asambleas </t>
  </si>
  <si>
    <t>Mesa Técnica Articulación PIP + UPL Localidad Tunjuelito</t>
  </si>
  <si>
    <t>Articulación de los PIPS con los Presupuestos Participativos localidad de Tunjuelito.</t>
  </si>
  <si>
    <t>Diagonal 50A #18-48 Sur Alcaldía local de Tunjuelito</t>
  </si>
  <si>
    <t>El cambio de UPZ a UPL busca ordenar el territorio localmente a través de Proyectos Integrales de Proximidad (PIP), con acciones como reverdecimiento de parques y mejoras en redes peatonales. En Tunjuelito, dos UPLs priorizan proyectos en cinco dimensiones: servicios, espacio público, movilidad y producción local. Se han reglamentado 411 acciones de un total de 2745, y cinco proyectos clave incluyen el reverdecimiento y conectividad de áreas. La inversión se gestiona a través de la alcaldía y Presupuestos Participativos, que deben revisar y complementar las acciones.</t>
  </si>
  <si>
    <t>Visita Técnica para la Socialización del Plan Parcial Las Flores en Lagos de Torca</t>
  </si>
  <si>
    <t>Coordinar una visita técnica en el Punto de Atención de Lagos de Torca con el fin de definir el espacio y los requerimientos logísticos necesarios para que el operador urbano lleve a cabo la socialización del Plan Parcial, programada para noviembre de 2024.</t>
  </si>
  <si>
    <t xml:space="preserve">Beldany Baez </t>
  </si>
  <si>
    <t>3138750698</t>
  </si>
  <si>
    <t xml:space="preserve">Lagos de Torca </t>
  </si>
  <si>
    <t>Autopista Norte. #224-60</t>
  </si>
  <si>
    <t>Se realizó una visita técnica en el Punto de Atención de Lagos de Torca para revisar los componentes logísticos, tecnológicos y el aforo ciudadano. Durante la visita, se dialogó con el promotor constructora Colpatria para identificar los requisitos necesarios para la socialización del Plan Parcial Las Flores.</t>
  </si>
  <si>
    <t>Mesa de Gestión Territorial AE Rionegro (Barrio 12 de Octubre)</t>
  </si>
  <si>
    <t>Acompañar el grupo focal de la comunidad 12 de Octubre, una actividad de carácter pedagógico para la AE Rionegro.</t>
  </si>
  <si>
    <t>Heydi Sanchez Barreto</t>
  </si>
  <si>
    <t>3002571652</t>
  </si>
  <si>
    <t>jccifuentes@concejobogota.gov.co</t>
  </si>
  <si>
    <t>Cra. 51 #72-13 (Plaza 12 de Octubre)</t>
  </si>
  <si>
    <t>Dudas generales sobre la AE por parte de los comerciantes de la plaza 12 de Octubre; Dudas sobre el proyecto línea 2 del metro</t>
  </si>
  <si>
    <t>Mesa Técnica Articulación PIPs y UPL , FDL Localidad Candelaria</t>
  </si>
  <si>
    <t>Martha ävila</t>
  </si>
  <si>
    <t xml:space="preserve">Sin informacion </t>
  </si>
  <si>
    <t>Alcaldía local la Candelaria</t>
  </si>
  <si>
    <t>Socialización PIPS candelaria</t>
  </si>
  <si>
    <t>Asambleas Delibertivas Dia 1</t>
  </si>
  <si>
    <t xml:space="preserve">Llevar a cabo el proceso de meta asamblea deliberativa </t>
  </si>
  <si>
    <t>Sebastián Higuera Góngora</t>
  </si>
  <si>
    <t xml:space="preserve">Paula Andrea González </t>
  </si>
  <si>
    <t>Torre Atrio</t>
  </si>
  <si>
    <t>Estrategias de Participación y dificultades del proceso de participación desde la individualidad</t>
  </si>
  <si>
    <t>Foro ¿cómo ejercer control social incidente en Bogotá?</t>
  </si>
  <si>
    <t>Realizar el foro dirigido a las veedurias y a la ciudadanía en general.</t>
  </si>
  <si>
    <t>Ciudadanía</t>
  </si>
  <si>
    <t>Carrera 8 # 40b - 52</t>
  </si>
  <si>
    <t>Cómo se ejerce el control social incidente desde diferentes instancias</t>
  </si>
  <si>
    <t>Mesa Técnica Articulación PIPs y UPL , FDL Localidad de Sumapaz</t>
  </si>
  <si>
    <t xml:space="preserve">Articular con la Alcaldía Local de Sumapaz la incorporación de acciones que aporten a materializar los Proyectos Integrales de Proximidad, dentro de la ruta Transforma lo Local de Presupuestos Participativos. </t>
  </si>
  <si>
    <t>Edward Alfonso Buitrago Torres</t>
  </si>
  <si>
    <t>Acciones para el desarrollo de los PIP en Sumpaz, acompañamiento de la SDP en la implementación del POT.</t>
  </si>
  <si>
    <t>Mesa técnica articulación PIP + UPL Alcaldía Local de Antonio Nariño</t>
  </si>
  <si>
    <t>Presentación de los planes integrales de proximidad a funcionarios de la Alcaldía Local de Antonio Nariño.</t>
  </si>
  <si>
    <t xml:space="preserve">Restrepo </t>
  </si>
  <si>
    <t>Calle 17 sur 18 49</t>
  </si>
  <si>
    <t>Marco normativo para la gestión Local, UPL y PIP, acciones PIP para presupuestos participativos, la localidad de Antonio nariño como ejemplo y pasos a seguir.</t>
  </si>
  <si>
    <t>Mesa Técnica Articulación PIP + UPL Localidad Teusaquillo</t>
  </si>
  <si>
    <t>Presentar los planes integrales de proximidad a funcionarios de la Alcaldía Local de Teusaquillo.</t>
  </si>
  <si>
    <t>Transversal 18 bis #38-41</t>
  </si>
  <si>
    <t>Marco normativo para la gestión Local, UPL y PIP, acciones PIP para presupuestos participativos, la localidad de Teusaquillo como ejemplo y pasos a seguir.</t>
  </si>
  <si>
    <t>Tercer Dialogo Ciudadano - Sector discapacidad</t>
  </si>
  <si>
    <t>Mesa de trabajo para preparación proceso Tercer Dialogo Ciudadano Sector Discapacidad.</t>
  </si>
  <si>
    <t>Mesa de trabajo para preparación proceso Tercer Dialogo Ciudadano Sector Discapacidad. - Temas logísticos. - Compromisos.</t>
  </si>
  <si>
    <t xml:space="preserve">Segunda mesa de articulación PIP FDL Usaquen </t>
  </si>
  <si>
    <t>Continuar con la priorización de los proyectos integradores de proximidad en la localidad de Usaquen y retroalimentación de los proyectos para presupuestos participativos por parte de FDL de Usaquen.</t>
  </si>
  <si>
    <t>Soraya Díaz</t>
  </si>
  <si>
    <t>312 3795488</t>
  </si>
  <si>
    <t>soraya.diaz@gobiernobogota.gov.co</t>
  </si>
  <si>
    <t>Usaquen</t>
  </si>
  <si>
    <t>Se continuó con la socialización de los PIP priorizados para la localidad de Usaquén y se tuvo la retroalimentación del FDL. Posteriormente, la Alcaldía Local debe diligenciar la matriz enviada a los alcaldes locales por la Secretaría Distrital de Planeación (SDP), en la cual se reflejará el cruce de los proyectos de la alcaldía con las acciones que puedan contribuir a los Planes de Inversión Participativa (PIP)</t>
  </si>
  <si>
    <t>Devolución PDD con enfoque diferencial de discapacidad - CTPD</t>
  </si>
  <si>
    <t>Realizar la devolución de los resultados del proceso de participación en la elaboración del PDD con enfoque diferencial a personas en situación de discapacidad.</t>
  </si>
  <si>
    <t>Joan Sebastián García</t>
  </si>
  <si>
    <t>Dick Dario Díaz</t>
  </si>
  <si>
    <t>Universidad Libre Sede el Bosque - Avenida 70 No 53 - 40 Auditorio Facultad de Ingeniería.</t>
  </si>
  <si>
    <t>Se socializo la estrategia de participación que se tuvo para la formulación del PDD. Las entidades invitadas socializaron los resultados del proceso de participación y los abordajes expresados en el PDD para la población en situación de discapacidad, desde cada sector.</t>
  </si>
  <si>
    <t>Asambleas Delibertivas Dia 2</t>
  </si>
  <si>
    <t>Análisis proceso participativo, conceptos y habilidades clave de la deliberación</t>
  </si>
  <si>
    <t>Asambleas Delibertivas Dia 3</t>
  </si>
  <si>
    <t>Criterios de selección por temas de ciclos deliberativos, critica constructiva cómo oportunidad de aprendizaje, estatuto para la deliberación, reglas de la deliberación</t>
  </si>
  <si>
    <t>Reunión Concejal Samir Abisambra - AEDA Engativá</t>
  </si>
  <si>
    <t>Atender dudas de la ciudadanía sobre AEDA Engativá desde la Secretaría Distrital de Planeación.</t>
  </si>
  <si>
    <t>José Perdomo</t>
  </si>
  <si>
    <t>3174393178</t>
  </si>
  <si>
    <t>jperdomo@sdp.gov.co</t>
  </si>
  <si>
    <t>Calle 66 # 105f - 50</t>
  </si>
  <si>
    <t>Criterios para orientar los ciclos deliberativos, democracia, participación y deliberación</t>
  </si>
  <si>
    <t>Asambleas Delibertivas Dia 4</t>
  </si>
  <si>
    <t xml:space="preserve">Semana De la Participacion de Bogota- Alcaldía Local de Puente Aranda </t>
  </si>
  <si>
    <t xml:space="preserve">Acompañar las diferentes actividades programadas desde la institucionalidad Alcaldía Puente Aranda y grupos de participación de la Localidad. </t>
  </si>
  <si>
    <t xml:space="preserve">Victor Alfonso Cruz Sanchez </t>
  </si>
  <si>
    <t>3648460</t>
  </si>
  <si>
    <t>cdiparanda@gobiernobogota.gov.co</t>
  </si>
  <si>
    <t xml:space="preserve">Bochica Central - Puente Aranda </t>
  </si>
  <si>
    <t>Parque Agua Viva Ac 3 # 34-83</t>
  </si>
  <si>
    <t>Evento Inagural de la Semana de la Participacion - Importancia del ahorro y cuidado del agua ¡Se parte del cambio!</t>
  </si>
  <si>
    <t>Segunda Mesa técnica articulación PIP + UPL Alcaldía Local de Bosa</t>
  </si>
  <si>
    <t>Articulación de los PIPS con los presupuestos participativos de la localidad Bosa.</t>
  </si>
  <si>
    <t>Priorización de acciones de los PIP</t>
  </si>
  <si>
    <t>Sesión Observatorio Ciudadano de Tunjuelito - Socialización generalidades UPL</t>
  </si>
  <si>
    <t>Socializar las generalidades del POT y el Modelo de Ocupación del Territorio en su escala local (UPL)</t>
  </si>
  <si>
    <t>Alejandrina Ordoñez</t>
  </si>
  <si>
    <t>observatoriotunjuelito2023@gmail.com</t>
  </si>
  <si>
    <t>Diagonal 50 A # 18 - 48 Sur - Alcaldía Local de Tunjuelito</t>
  </si>
  <si>
    <t>Plan de Ordenamiento Territorial; Unidades de Planeamiento Zonal y Local; Proyectos Integrales de Proximidad</t>
  </si>
  <si>
    <t>Capacitación SINUPOT al Comité Ciudadano AEDA Fontibón</t>
  </si>
  <si>
    <t>Capacitar al Comité Ciudadano AEDA Fontibón en el SINUPOT.</t>
  </si>
  <si>
    <t>Alvaro Toquica</t>
  </si>
  <si>
    <t>3015707189</t>
  </si>
  <si>
    <t>atoquica@gmail.com</t>
  </si>
  <si>
    <t>Plataforma SINUPOT</t>
  </si>
  <si>
    <t>Taller gemelo digital Geo-data - Bogotá - Copenhague</t>
  </si>
  <si>
    <t>Conocer la herramienta geo-data que ha desarrollado la Secretaría Distrital de Planeación y de aprender de la experiencia de Copenhague. Será un espacio para compartir con representantes de entidades claves de Bogota y expertos daneses.</t>
  </si>
  <si>
    <t>Club La Aguadora (Cl. 119 No. 0-10 Este)</t>
  </si>
  <si>
    <t>Gemelo digital de Copenhague, funcionamiento del modelo de datos urbanos para toma de decisiones de acuerdo al tipo de actor, Predio 360 y avance en SDP hacía el gemelo digital de Bogotá.</t>
  </si>
  <si>
    <t>Segunda Mesa técnica articulación PIP + UPL Alcaldía Local de Chapinero</t>
  </si>
  <si>
    <t>Socializar los PIPs de la localidad de Chapinero para la ruralidad.</t>
  </si>
  <si>
    <t xml:space="preserve">Maria Monica Montealegre </t>
  </si>
  <si>
    <t>Socialización de los PIPs de para localidad de Chapinero asociados a la Ruralidad. Acuerdos para el acompañamiento técnico para los votados en presupuestos participativos.</t>
  </si>
  <si>
    <t>Sesión Fondo de Desarrollo Local de Tunjuelito - Socialización generalidades POT</t>
  </si>
  <si>
    <t>Socializar las generalidades del POT y el Modelo de Ocupación del Territorio en su escala local (UPL).</t>
  </si>
  <si>
    <t>311 2380992</t>
  </si>
  <si>
    <t>Alcaldía Local de Tunjuelito - Auditorio FDL - Cra. 18 &amp;, Dg. 49a Sur, Tunjuelito, Bogotá</t>
  </si>
  <si>
    <t>Plan de Ordenamiento Territorial; Unidades de Planeamiento Local y Zonal; Proyectos Integrales de Proximidad; Planes Parciales; Actuaciones Estratégicas</t>
  </si>
  <si>
    <t>Gemelo digital de Bogotá y de Copenhague, avances en el modelo de datos de IDECA, datos de carácter nacional en Dinamarca.</t>
  </si>
  <si>
    <t>Asistencia Técnica Herramientas de Participación - Sector Seguridad</t>
  </si>
  <si>
    <t>Desarrollar asistencia técnica al sector seguridad en herramientas de participación para la formulación de política pública.</t>
  </si>
  <si>
    <t>Secretaría Distrital de Seguridad, Convivencia y Justicia</t>
  </si>
  <si>
    <t>Asistencia técnica en herramientas metodológicas para la formulación de PP.</t>
  </si>
  <si>
    <t>Gestión: Mesa interna de Mujeres y asuntos de género de la SDP</t>
  </si>
  <si>
    <t>Construir el plan de trabajo de la Mesa interna de Mujeres y Asuntos de Género de la SDP.</t>
  </si>
  <si>
    <t>Dirección de Talento Humano de la SDP</t>
  </si>
  <si>
    <t>3358000</t>
  </si>
  <si>
    <t>Piso 8 Sala A</t>
  </si>
  <si>
    <t>Ajuste del instrumento de caracterización que se realizará a los (as) servidores públicos.</t>
  </si>
  <si>
    <t>Segunda Mesa técnica articulación PIP + UPL Alcaldía Local de Teusaquillo</t>
  </si>
  <si>
    <t>Presentar los proyectos integrales de proximidad a funcionarios de la Alcaldía Local de Teusaquillo.</t>
  </si>
  <si>
    <t>Tv. 18 Bis #38-41</t>
  </si>
  <si>
    <t>Articulación proyectos de los PIP's en la Localidad de Teusaquillo referenciados con presupuestos participativos de la localidad.</t>
  </si>
  <si>
    <t>Se presentaron los avances de la aplicación del gemelo digital en Bogotá y se discutió sobre la gobernanza de los datos con organizaciones como Agata.</t>
  </si>
  <si>
    <t>Estrategia de Marca - Programa Bogotá, Ciudad Portuaria</t>
  </si>
  <si>
    <t>Bogotá Ciudad Portuaria - Programa 21 PDD</t>
  </si>
  <si>
    <t>Presentar avances de la estrategia de participacion para la Marca: Bogotá, Ciudad Portuaria.</t>
  </si>
  <si>
    <t>jperdonomo@sdp.gov.co</t>
  </si>
  <si>
    <t>SDP - piso 5 sala B</t>
  </si>
  <si>
    <t>Avances estrategia de participacion Marca: Bogotá, Ciudad Portuaria, Narrativa Marca: Bogotá, Ciudad Portuaria.</t>
  </si>
  <si>
    <t>Seguimiento a las acciones del SPT</t>
  </si>
  <si>
    <t>Realizar seguimiento a las acciones sectoriales del SPT.</t>
  </si>
  <si>
    <t>Sala C. SDP</t>
  </si>
  <si>
    <t>Acciones de fortalecimiento a las entidades vinculadas al SPT.</t>
  </si>
  <si>
    <t>Reunion Virtual JAC San Carlos Kennedy</t>
  </si>
  <si>
    <t>Dialogo sobre las Asambleas Deliberativas con la JAC de San Carlos, Kennedy.</t>
  </si>
  <si>
    <t xml:space="preserve">Enlace de Reunión </t>
  </si>
  <si>
    <t>Meta asambleas deliberativas.</t>
  </si>
  <si>
    <t xml:space="preserve">Asistencia Técnica en Diseño Metodológico para la formulación de políticas públicas </t>
  </si>
  <si>
    <t>Llevar a cabo asistencia técnica en diseño metodológico de participación para la formulación de políticas públicas.</t>
  </si>
  <si>
    <t>Dirección de Desarrollo Económico - SDP</t>
  </si>
  <si>
    <t>Asistencia Técnica Especializada en Diseño Metodológico.</t>
  </si>
  <si>
    <t>abordar el orden del día propuesto con temas como Congreso de mujeres Consejeras Territoriales en Paipa 27-30 noviembre de 2024 y el Informe definitivo de vacancias._x000B_</t>
  </si>
  <si>
    <t xml:space="preserve">liliana urrego navarro </t>
  </si>
  <si>
    <t>presidentactpd@gmail.com</t>
  </si>
  <si>
    <t>Abordar el orden del día de la mesa directiva, con temas relacionados con el Congreso de Mujeres en Paipa, Boyacá.</t>
  </si>
  <si>
    <t>Diálogo con el Pueblo Muisca - PP/SSSM/SPT</t>
  </si>
  <si>
    <t xml:space="preserve">Realizar diálogo con el Pueblo Muisca en relación a los temas señalados en la comunicación enviada al despacho de la Secretaría el 10 de octubre. </t>
  </si>
  <si>
    <t>Mariana Botero Cuartas</t>
  </si>
  <si>
    <t>3204288455</t>
  </si>
  <si>
    <t>Mbotero@sdp.gov.co</t>
  </si>
  <si>
    <t xml:space="preserve">Pueblo Muisca de Bogota </t>
  </si>
  <si>
    <t xml:space="preserve">Auditorio CTPD </t>
  </si>
  <si>
    <t>Política pública de los pueblos indígenas; sistema de sitios sagrados Muisca; resolución 2664, sistema de participación territorial.</t>
  </si>
  <si>
    <t xml:space="preserve">Comisión de Participación </t>
  </si>
  <si>
    <t xml:space="preserve">Deliberar con relacion al foro de participación desarrollado por la comisión de participacion del CTPD y de la participación de la comisión en el marco de las asambleas deliberativas. </t>
  </si>
  <si>
    <t xml:space="preserve"> Dick Dario Díaz Melendez</t>
  </si>
  <si>
    <t>Enlca de Reunión</t>
  </si>
  <si>
    <t>La comision evaluo el foro de participacion incluyende desarrollado a principios de octubre, y su participación como comisión en las asambleas deliberativas.</t>
  </si>
  <si>
    <t>Celebración cumpleaños Localidad Usaquén</t>
  </si>
  <si>
    <t xml:space="preserve">Celebración del cumpleaños 485 de la localidad de Usaquén, fecha que invita a resaltar la historia, identidad y cohesión como sociedad de manera innovadora hacia la ciudadanía de la localidad por parte de las Entidades del Distrito.  </t>
  </si>
  <si>
    <t xml:space="preserve">Isabella Junca </t>
  </si>
  <si>
    <t>3042928148</t>
  </si>
  <si>
    <t xml:space="preserve">Toberín </t>
  </si>
  <si>
    <t>Calle 165 No. 7 – 52</t>
  </si>
  <si>
    <t>En el marco del cumpleaños de la localidad se hizo la pedagogía sobre el POT, PIP y UPL de la localidad de Usaquén, se llevó a cabo una actividad llamada Muro de los Sueños, en la cual se invitó a la ciudadanía a compartir su visión sobre cómo imaginan la localidad para el año 2035. Al finalizar, se realizaron aclaraciones y se ofreció información adicional a la ciudadanía sobre los instrumentos de planeación.”</t>
  </si>
  <si>
    <t>Acompañamiento a Socialización del Decreto de Adopción de la AEDA Engativá</t>
  </si>
  <si>
    <t>Acompañar al aperador urbano en la socialización del Decreto 290 de 2024.</t>
  </si>
  <si>
    <t>Camilo Vásquez - RENOBO</t>
  </si>
  <si>
    <t>3142045592</t>
  </si>
  <si>
    <t>cvasquezv@renobo.com.co</t>
  </si>
  <si>
    <t>Calle 65A # 112A - 39</t>
  </si>
  <si>
    <t>Alcance de la Actuación Estratégica Distrito Aeroportuario Engativá dentro del territorio del barrio Villa Gladys.</t>
  </si>
  <si>
    <t>Apoyar técnicamente a la Dirección de Servicio a la Ciudadanía y a la Dirección de Registros Sociales para llevar a cabo el tercer Dialogo Ciudadano con el Sector discapacidad.</t>
  </si>
  <si>
    <t>Proceso Tercer Dialogo Ciudadano Sector Discapacidad. - Temas logísticos.</t>
  </si>
  <si>
    <t>Presentación Asambleas Ciudadanas - IDPAC</t>
  </si>
  <si>
    <t>Presentar el objetivo y los alcances de las Asambleas Ciudadanas.</t>
  </si>
  <si>
    <t>Montevideo</t>
  </si>
  <si>
    <t>Avenida calle 22 Nº 68C - 51</t>
  </si>
  <si>
    <t>Presentación del objetivo y alcances de las Asambleas Deliberativas al equipo territorial del IDPAC.</t>
  </si>
  <si>
    <t>Reunión Balance y Alistamiento Documentación y Medición Meta Asamblea Deliberativas</t>
  </si>
  <si>
    <t>Se abordaron temas de mejora Post Asambleas Deliberativas.</t>
  </si>
  <si>
    <t>Post Meta Asamblea Deliberativa.</t>
  </si>
  <si>
    <t>Mesa Directiva Permanente CTPD</t>
  </si>
  <si>
    <t>Continuar con el orden del día de la mesa directiva ordinaria.</t>
  </si>
  <si>
    <t>Participación del CTPD en la asamblea deliberativa.</t>
  </si>
  <si>
    <t>Acompañar la articulación de los esfuerzos institucionales de participación en la localidad de los Mártires.</t>
  </si>
  <si>
    <t>Leidy Pachón</t>
  </si>
  <si>
    <t>3114478395</t>
  </si>
  <si>
    <t>Subdirección Local de Mártires Dg 22 B Bis # 20-51</t>
  </si>
  <si>
    <t>Socializacon Asambleas ciudadanas OPDC- Estado de los Encuentros Participativos en la localidad.</t>
  </si>
  <si>
    <t>Gestión: Reunión preparatoria revisión de productos política pública concertados con Pueblo Rrom</t>
  </si>
  <si>
    <t>La Secretaria Distrital de Gobierno presentará los productos concertados por la entidad con el pueblo Rrom, esto con el fin de dar inicio a la implementación de la Política Pública aprobada mediante el CONPES 40.</t>
  </si>
  <si>
    <t>David Cortes Araujo</t>
  </si>
  <si>
    <t>david.cortes@gobiernobogota.gov.co</t>
  </si>
  <si>
    <t>Edificio Liévano - Calle 11 No. 8-17, Bogotá -SDG</t>
  </si>
  <si>
    <t>Politica Publica del Pueblo Rrom; productos concertados; planes de acción.</t>
  </si>
  <si>
    <t>Mesa Temática 1 - Control Urbanístico. Comité Ciudadano AEDA Fontibón</t>
  </si>
  <si>
    <t>Mesa Temática 1 - Control Urbanístico. Comité Ciudadano AEDA Fontibón.</t>
  </si>
  <si>
    <t>Jose perdomo</t>
  </si>
  <si>
    <t>Alcaldía Local de Fontibón</t>
  </si>
  <si>
    <t>Control urbanistico en la Localidad de Fontibón.</t>
  </si>
  <si>
    <t xml:space="preserve">Comisión accidental de comunicaciones </t>
  </si>
  <si>
    <t>Acompañar la comisión accidental de comunicaciones.</t>
  </si>
  <si>
    <t>Angela Acosta</t>
  </si>
  <si>
    <t>3133522946</t>
  </si>
  <si>
    <t xml:space="preserve">Secretariageneralctpd@gmail.com </t>
  </si>
  <si>
    <t>Página web CTPD.</t>
  </si>
  <si>
    <t xml:space="preserve">Socialización del Plan de Urbanismo de Bilbao </t>
  </si>
  <si>
    <t>Generar confianza de la comunidad con las entidades a partir del desarrollo de acciones de embellecimiento del territorio.</t>
  </si>
  <si>
    <t>Claudia Ximena Torres Vanegas</t>
  </si>
  <si>
    <t xml:space="preserve">ctorres@fgs.co </t>
  </si>
  <si>
    <t xml:space="preserve">Carrera 100 # 136 -22 Piso 3 </t>
  </si>
  <si>
    <t>Proyectos integrales proximidad presupuesto participativos urbanismo.</t>
  </si>
  <si>
    <t>Sesión JAL Teusaquillo - AE ZIBO</t>
  </si>
  <si>
    <t>Acompañar a la empresa RenoBo y la DPL para brindar informe de avance de la AE pieza ZIBO.</t>
  </si>
  <si>
    <t>Luis Carlos Barrera Lombana</t>
  </si>
  <si>
    <t>jal.teusaquillo@gobiernobogota.gov.co</t>
  </si>
  <si>
    <t>Recinto JAL (Transversal 28B # 36 - 39)</t>
  </si>
  <si>
    <t>Informe de avance de la AE pieza ZIBO, cronograma hasta la fecha de la AE.</t>
  </si>
  <si>
    <t>Gestión: testeo metodológico asistencia técnica Secretaría Distrital de Seguridad</t>
  </si>
  <si>
    <t>Realizar el testeo de la metodología sugerida para asistencia técnica en la formulación de la Política pública de la Justicia no formal y comunitaria</t>
  </si>
  <si>
    <t>Daniel Alejandro Rueda</t>
  </si>
  <si>
    <t>3112182626</t>
  </si>
  <si>
    <t>daniel.rueda@scs.gov.co</t>
  </si>
  <si>
    <t>Calle 63 N. 9 - 76 casa de justicia de Chapinero</t>
  </si>
  <si>
    <t>Entrenamiento Metodológico.</t>
  </si>
  <si>
    <t>Mesa Directiva Permanente - CTPD</t>
  </si>
  <si>
    <t>Continuar debatiendo el orden del día, propuesto para la Mesa Directiva Ordinaria.</t>
  </si>
  <si>
    <t>Se abordaron temas del orden del día como informes de asistencia, rendición cuentas, curso de habilidades blancdas, entre otros.</t>
  </si>
  <si>
    <t>Gestión: Preparatoria Socialización POT con Consejo Consultivo de Mujeres-CCM</t>
  </si>
  <si>
    <t>Articular acciones con la SDMujer para socializar generalidades del POT, temas de género y políticas de cuidado al Consejo Consultivo de Mujeres de Bogotá-CCM.</t>
  </si>
  <si>
    <t>Sebastián Martínez</t>
  </si>
  <si>
    <t>jsmartinez@sdmujer.gov.co</t>
  </si>
  <si>
    <t>En este espacio se articularon acciones con la SDMujer para socializar generalidades del POT, temas de género y políticas de cuidado al Consejo Consultivo de Mujeres de Bogotá-CCM.</t>
  </si>
  <si>
    <t>Capacitación 1°de Noviembre  Participación y Política de Participación Incidente</t>
  </si>
  <si>
    <t>Capacitación 1°de Noviembre  Participación y Política de Participación Incidente.</t>
  </si>
  <si>
    <t>Johanna Catherine Gámez</t>
  </si>
  <si>
    <t>Anderson Rivera</t>
  </si>
  <si>
    <t xml:space="preserve">María Alejandra Castañeda </t>
  </si>
  <si>
    <t>María Inés Mejía</t>
  </si>
  <si>
    <t xml:space="preserve">Marisol Velasco Peña </t>
  </si>
  <si>
    <t>CTPD Grupo 1 a las 8:10</t>
  </si>
  <si>
    <t>Decreto 432 de 2022 y Ley 477 de 2023.</t>
  </si>
  <si>
    <t>Decreto 432 de 2022 y Política Pública de Participación Incidente.</t>
  </si>
  <si>
    <t xml:space="preserve">UPL Sumapaz Pedagogía acciones PIP UPL </t>
  </si>
  <si>
    <t xml:space="preserve">Realizar pedagogía sobre las acciones PIP de la UPL Sumapaz, en el marco de la ruta Transforma lo Local de Presupuestos Participativos. </t>
  </si>
  <si>
    <t xml:space="preserve">Esperanza Rubiano </t>
  </si>
  <si>
    <t>321 7623219</t>
  </si>
  <si>
    <t>Salón comunal Santa Rosa</t>
  </si>
  <si>
    <t>Se expusieron las acciones de los proyectos integrales de proximidad para Sumapaz: Mejoramiento, mantenimiento y/o dotación de parques en la cancha Múltiple Nazareth.  Restauración ecológica en circuito del cuidado Nazareth.  Restauración ecológica en circuito del cuidado San Juan - La Unión. Adecuación y dotación de equipamiento cultural en Salón Comunal Las Animas. Adecuación y dotación de equipamiento cultural en Salón Comunal Vereda Peñalisa. Adecuación y dotación de equipamiento cultural en Salón Comunal Nueva Granada Construcción y/o conservación malla vial rural.</t>
  </si>
  <si>
    <t>Taller de Sensibilización Enfoque Étnico Sembrando Semillas - mañana</t>
  </si>
  <si>
    <t>Sensibilización con la Secretaría de Gobierno - 05 de Noviembre.</t>
  </si>
  <si>
    <t>Universidad Santo Tomas - Campus Doctor Angélico. (Cra 9 # 72 -90) Piso 7</t>
  </si>
  <si>
    <t>Taller de sensibilización enfoque étnico.</t>
  </si>
  <si>
    <t>Taller de Sensibilización Enfoque Étnico Sembrando Semillas - tarde</t>
  </si>
  <si>
    <t xml:space="preserve">Sebastián Potes Buitrago </t>
  </si>
  <si>
    <t>Capacitación Participación y Politica Pública de Participación Incidente.</t>
  </si>
  <si>
    <t xml:space="preserve">UPL Tintal Mejoramiento de parque en urbanización MULTIFAMILIAR LA PAZ </t>
  </si>
  <si>
    <t xml:space="preserve">Realizar socialización de PIP para la UPL Tintal y su iniciativa para presupuestos participativos </t>
  </si>
  <si>
    <t xml:space="preserve">Nelson Velásquez </t>
  </si>
  <si>
    <t>3163976964</t>
  </si>
  <si>
    <t>dignatariosmarsella@yahoo.es</t>
  </si>
  <si>
    <t>Marcella</t>
  </si>
  <si>
    <t>Carrera 69 # 9C - 52</t>
  </si>
  <si>
    <t>Socialización de la(s) acción(es) PIP dispuestas en Presupuestos Participativos, correspondiente a los Proyectos Integrales de Proximidad priorizados para la UPL Tintal.</t>
  </si>
  <si>
    <t xml:space="preserve">Comisión de Participación CTPD </t>
  </si>
  <si>
    <t>Acompañar la comisión de participación del CTPD.</t>
  </si>
  <si>
    <t>Dick Díaz</t>
  </si>
  <si>
    <t>317 8255261</t>
  </si>
  <si>
    <t xml:space="preserve">Comisionparticipacionctpd@gmail.com </t>
  </si>
  <si>
    <t>Acuerdo 878 de 2023.</t>
  </si>
  <si>
    <t>Comisión POT- CTPD</t>
  </si>
  <si>
    <t xml:space="preserve">Acompañar como secretaría técnica a la comisión del POT quienes deliberaran respecto de su plan de acción, de la participación en el foro de Consejeras Mujeres, del rol de la comisión en las asambleas ciudadanas, y la aprobación de actas del año. </t>
  </si>
  <si>
    <t>Angela Patricia Manrrique</t>
  </si>
  <si>
    <t xml:space="preserve">La comisión abordó la importancia de asistir al encuentro de mujeres consejeras territoriales, abordó su plan de acción considerando sus actividades faltantes, tomó posición respecto de las Asambleas Deliberativas y decidió realizar actividades para el 12 y 14 de noviembre y para el 6 de diciembre. </t>
  </si>
  <si>
    <t>Segunda Devolución PDD con enfoque diferencial de discapacidad</t>
  </si>
  <si>
    <t>Devolver a la ciudadanía en situación de discapacidad, y a cuidadores y cuidadoras los resultados del proceso de participación que se tuvo para la formulación del PDD</t>
  </si>
  <si>
    <t>Universidad Nacional Abierta y a Distancia UNAD Sede Principal Calle 14 Sur N° 14 - 23 Auditorio MARM Barrio Restrepo</t>
  </si>
  <si>
    <t>Se realizó la devolución del proceso de participación para la formulación del PDD con la participación del sector salud, habitat, educación, cultura, y seguridad</t>
  </si>
  <si>
    <t>Reunión PIP Presupuestos participativos Alcaldía de Kennedy</t>
  </si>
  <si>
    <t>Coordinar el proceso de priorización de propuestas de presupuestos participativos vinculados a los PIP.</t>
  </si>
  <si>
    <t>Articulación PIP y presupuestos participativos localidad de Kennedy</t>
  </si>
  <si>
    <t>Reunión mensual red de apoyo a las veedurías</t>
  </si>
  <si>
    <t>Realizar la reunión mensual de la red.</t>
  </si>
  <si>
    <t>Angélica Vargas</t>
  </si>
  <si>
    <t>3103489966</t>
  </si>
  <si>
    <t>Resumén foro ¿Como ejercer control ciudadano incidente?</t>
  </si>
  <si>
    <t>UPL Centro Historico Socializacion de las acciones PIP UPL Los olivos</t>
  </si>
  <si>
    <t>Brindar pedagogía sobre las generalidades del Modelo de Ocupación Territorial en su escala local, específicamente las Unidades de Planeamiento Local y los Proyectos Integrales de Proximidad; promoviendo la participación ciudadana para la priorización de acciones PIP en el marco de la Ruta 3 de Presupuestos Participativos</t>
  </si>
  <si>
    <t>Myriam Consuelo Paez</t>
  </si>
  <si>
    <t>3203676351</t>
  </si>
  <si>
    <t xml:space="preserve">sin informacion </t>
  </si>
  <si>
    <t>Los Olivos</t>
  </si>
  <si>
    <t>Cl 93 A # 11-36 oficina 304</t>
  </si>
  <si>
    <t>Comité de Diseño: Balance y Medición de Meta Asamblea Deliberativa</t>
  </si>
  <si>
    <t>Realizar el balance y aprendizajes de la Meta Asamblea Deliberativa llevada a cabo entre el 18 y el 21 de octubre de 2024</t>
  </si>
  <si>
    <t>Fundación Colombia 2050</t>
  </si>
  <si>
    <t>3106906815</t>
  </si>
  <si>
    <t>alejandrochaves@fundacioncolombia2050.org</t>
  </si>
  <si>
    <t>Alcaldía Mayor de Bogotá, carrera 8 # 10-50 - Sala Estratégica, Piso 4 del edificio Bicentenario 2</t>
  </si>
  <si>
    <t xml:space="preserve">Se trabajó en el balance y resultados de la Meta Asamblea Deliberativa mediante una metodología en Bloques temáticos, así:   1. Convocatoria y selección 20 minutos 2. Metodología y gestión de la deliberación 30 minutos  3. Pedagogía y nivelación de asimetrías 20 minutos  4. Manejo logístico y de condiciones diferenciales 20 minutos  5. Transparencia y difusión 20 minutos. Frente a los anteriores temas se discutieron preocupaciones, aciertos e ideación de acciones de mejora. </t>
  </si>
  <si>
    <t>4ª Encuentro Distrital de CLIP</t>
  </si>
  <si>
    <t>Fortalecimiento los conocimientos sobre la Comisión Local Intersectorial de Participación, facilitando espacios de intercambio de experiencias, capacitación y construcción conjunta de propuestas que contribuyan a la planificación participativa y al desarrollo territorial en el distrito.</t>
  </si>
  <si>
    <t xml:space="preserve">CDC de Lourdes - Carrera 2 No 4 - 10 </t>
  </si>
  <si>
    <t xml:space="preserve">Presentación meta asamblea deliberativa </t>
  </si>
  <si>
    <t>UPL Centro Historico Socializacion de las acciones PIP UPL Egipto</t>
  </si>
  <si>
    <t>Brindar pedagogía sobre las generalidades del Modelo de Ocupación Territorial en su escala local, específicamente las Unidades de Planeamiento Local y los Proyectos Integrales de Proximidad; promoviendo la participación ciudadana para la priorización de acciones PIP en el marco de la Ruta 3 de Presupuestos Participativos.</t>
  </si>
  <si>
    <t>Luz marina Piraquive</t>
  </si>
  <si>
    <t>3124744012</t>
  </si>
  <si>
    <t>Barrio Egipto</t>
  </si>
  <si>
    <t>Casa comunitaria del barrio Egipto</t>
  </si>
  <si>
    <t>Política Protección a Moradores Dec. 563 de 2023</t>
  </si>
  <si>
    <t>Socializar la Política Protección a Moradores Dec. 563 de 2023.</t>
  </si>
  <si>
    <t xml:space="preserve">Fredy Villaquira Lozada </t>
  </si>
  <si>
    <t>3102316975</t>
  </si>
  <si>
    <t>frequiran20@hotmail.com</t>
  </si>
  <si>
    <t xml:space="preserve">Nueva Primavera </t>
  </si>
  <si>
    <t xml:space="preserve">Cra 43 N. 4b - 72 Salón Comunal Nva Primavera </t>
  </si>
  <si>
    <t xml:space="preserve">Actuacion Estrategica UPL Aranda, Política Protección a Moradores Manzanas Adyacentes Av. Ferrocarril trayecto Av. 68 y Cll 13 </t>
  </si>
  <si>
    <t>UPL Chapinero Socialización PIP - UPL - localidad de Chapinero 1</t>
  </si>
  <si>
    <t xml:space="preserve">Socializar los proyectos Integrales de Proximidad su Identificación en la localidad de Chapinero, información de interés y utilidad en el ejercicio de Presupuestos participativos en la (ruta Transforma lo Local). </t>
  </si>
  <si>
    <t>Aurora Martinez</t>
  </si>
  <si>
    <t>3053167944</t>
  </si>
  <si>
    <t xml:space="preserve">sin Informacion </t>
  </si>
  <si>
    <t>Pardo Rubio</t>
  </si>
  <si>
    <t>meet.google.com/bdo-psso-jyu</t>
  </si>
  <si>
    <t>Socialización de los PIP de la UPL Chapinero , en el marco de los ejercicios de presupuestos participativos</t>
  </si>
  <si>
    <t xml:space="preserve">Plenaria CTPD </t>
  </si>
  <si>
    <t xml:space="preserve">Acompañar la plenaria ordinaria del CTPD </t>
  </si>
  <si>
    <t>Aprobación de actas de plenarias del primer semestre y Asambleas deliberativas, informe comisión participación y Comités de Participación, cronograma y definición de participación del CTPD</t>
  </si>
  <si>
    <t xml:space="preserve">UPL Cuenca Tunjuelo socialización de las acciones PIP - Cinturon verde y Red de senderos de Usme </t>
  </si>
  <si>
    <t xml:space="preserve">Realizar pedagogía sobre las acciones PIP de la UPL Cuenca Tunjuelo, en el marco de la ruta Transforma lo Local de Presupuestos Participativos. </t>
  </si>
  <si>
    <t xml:space="preserve">Ana Otilia Cuervo </t>
  </si>
  <si>
    <t>ana.cuervo@gobiernobogota.gov.co</t>
  </si>
  <si>
    <t xml:space="preserve">Comunidad veredas de borde de Usme </t>
  </si>
  <si>
    <t>Formulación de los proyectos integrales de proximidad. La comunidad solicita que Presupuestos Participativos tenga una metodología diferencial en la ruralidad.</t>
  </si>
  <si>
    <t xml:space="preserve">UPL Toberín socialización de las acciones PIP Construcción y conservación de Redes peatonales Verbenal San Antonio I y II </t>
  </si>
  <si>
    <t xml:space="preserve">Realizar pedagogía sobre las acciones PIP de la UPL Toberín, en el marco de la ruta Transforma lo Local de Presupuestos Participativos. </t>
  </si>
  <si>
    <t>Ricardo Acosta Sáenz</t>
  </si>
  <si>
    <t>JAC Verbernal II Sector</t>
  </si>
  <si>
    <t>jacverbenal@gmail.com</t>
  </si>
  <si>
    <t xml:space="preserve">Verbenal </t>
  </si>
  <si>
    <t>CALLE 184 A 17 48</t>
  </si>
  <si>
    <t xml:space="preserve">Upl Fontibon - Socialización acciones pip para presupuestos participativos </t>
  </si>
  <si>
    <t xml:space="preserve">Socializar las acciones de los pip en los presupuestos participativos </t>
  </si>
  <si>
    <t>Comunitarios</t>
  </si>
  <si>
    <t>Villa carmenza</t>
  </si>
  <si>
    <t>Alcaldía local Fontibon</t>
  </si>
  <si>
    <t xml:space="preserve">Acciones de los pip en presupuestos participativos y los pip Fontibon </t>
  </si>
  <si>
    <t>Mesa de observación 1 Comite Ciudadano AEDA Fontibón</t>
  </si>
  <si>
    <t>acompañar la mesa de observación 1 Comité Ciudadano AEDA Fontibón.</t>
  </si>
  <si>
    <t>Juan Jerez</t>
  </si>
  <si>
    <t>3057633516</t>
  </si>
  <si>
    <t>jjerez@sdp.gov.co</t>
  </si>
  <si>
    <t>Alcaldía Local de Fontibón, Cra. 99 #19-43</t>
  </si>
  <si>
    <t xml:space="preserve">UPL Porvenir - socialización de acciones del PIP </t>
  </si>
  <si>
    <t>Socializar a actores las acciones del PIP - UPL.</t>
  </si>
  <si>
    <t xml:space="preserve">Porvenir </t>
  </si>
  <si>
    <t>Carrera #79-51 sur San Bernardo Localidad, Cl. 78 Sur #89c, Bogotá, Colegio IED San Bernardino</t>
  </si>
  <si>
    <t>Socialización de PIP y UPL</t>
  </si>
  <si>
    <t xml:space="preserve">UPL Suba - socializacion de las acciones PIP (parques, malla vial, medio ambiente), </t>
  </si>
  <si>
    <t>Pedagogía y socializacion de las acciones de los PIP y PP de la UPL Suba.</t>
  </si>
  <si>
    <t>Kr 92 entre calle 156 y calle 159</t>
  </si>
  <si>
    <t>UPL Tabora- Socialización de Acciones PIP-UPL (Biblioteca y Parques)</t>
  </si>
  <si>
    <t xml:space="preserve">Realizar pedagogía sobre las acciones PIP de la UPL Tabora, en el marco de la ruta Transforma lo Local de Presupuestos Participativos. </t>
  </si>
  <si>
    <t xml:space="preserve">Lucely Narváez </t>
  </si>
  <si>
    <t>3117417475</t>
  </si>
  <si>
    <t>lucely.narvaez@bibliored.gov.co</t>
  </si>
  <si>
    <t>Las Ferias</t>
  </si>
  <si>
    <t>Carrera 69J No. 73-29</t>
  </si>
  <si>
    <t>Durante el esapcio se socializaron dos acciones que se encuentran como propuesta dentro del PIP Eje Tabora-Ferias</t>
  </si>
  <si>
    <t xml:space="preserve">UPL NIZA  - socialización de las acciones del PIP </t>
  </si>
  <si>
    <t>La pedagogía sobre  para la priorización de acciones Proyectos Integrales de Proximidad en el marco de la Ruta 3 de Presupuestos Participativos.</t>
  </si>
  <si>
    <t xml:space="preserve">Julie Escamilla </t>
  </si>
  <si>
    <t>315 2932055</t>
  </si>
  <si>
    <t>jpescamillasdis@gmail.com</t>
  </si>
  <si>
    <t>Niza Sur</t>
  </si>
  <si>
    <t>Cra 71 d No.121 -03</t>
  </si>
  <si>
    <t>ACLARACIÓN</t>
  </si>
  <si>
    <t>UPL Chapinero Socialización PIP - UPL - localidad de Chapinero  2</t>
  </si>
  <si>
    <t xml:space="preserve">Proyectos Integrales de Proximidad su Identificación en la localidad de Chapinero, información de interés y utilidad en el ejercicio de Presupuestos participativos en la (ruta Transforma lo Local). 
</t>
  </si>
  <si>
    <t>Carrera 4A Este No. 45b</t>
  </si>
  <si>
    <t xml:space="preserve">Socialización de PIP-UPL Chapinero en el marco de los presupuestos participativos, a  actores de las JAC </t>
  </si>
  <si>
    <t>UPL Puente Aranda - PIP Mejoramiento En Parques Villa Inés Manzana 64d Y Carabelas</t>
  </si>
  <si>
    <t>Realizar socialización de los PIPs priorizados en la UPL Puente Aranda que estarán en presupuestos participativos.</t>
  </si>
  <si>
    <t>Alicia Romero</t>
  </si>
  <si>
    <t>3163982661</t>
  </si>
  <si>
    <t>Villa Ines y Carabelas</t>
  </si>
  <si>
    <t xml:space="preserve">Cra 38a N. 1d- 30 Salón Comunal Villa Inés </t>
  </si>
  <si>
    <t>Socialización de los PIPs priorizados en la UPL Puente Aranda para los Parques Villa Inés Manzana 64d Y Carabelas</t>
  </si>
  <si>
    <t xml:space="preserve">UPL Cuenca del Tunjuelo - socialización de las acciones del PIP </t>
  </si>
  <si>
    <t>Realizar pedagogía sobre las acciones PIP de la UPL Cuenca Tunjuelo, en el marco de la ruta Transforma lo Local de Presupuestos Participativos. (Circuito del Cuidado Rural de Quiba Baja, Servicios del Cuidado y Sociales Rural en Quiba Alta, Circuito del Cuidado Rural Mochuelo Bajo y Adecuación y Dotación de Equipamiento Cultural en Salón Comunal Pasquilla)</t>
  </si>
  <si>
    <t>Johana Bolívar</t>
  </si>
  <si>
    <t>302 3562917</t>
  </si>
  <si>
    <t>dngutierrezg.sdp@gmail.com</t>
  </si>
  <si>
    <t>Quiba baja, Quiba Alta, Mochuelo Alto y Pasquilla</t>
  </si>
  <si>
    <t>https://meet.google.com/jea-ckwe-kmi</t>
  </si>
  <si>
    <t>UPL Rafael Uribe Uribe - Socialización Proyectos Especiales de PIP</t>
  </si>
  <si>
    <t>Se realizará la socialización de los Proyectos Integrales de Proximidad con algunos lideres comunales de los barrios el Molino y barrios vecinos.</t>
  </si>
  <si>
    <t>Jorge Romero</t>
  </si>
  <si>
    <t>3143073351</t>
  </si>
  <si>
    <t>jromero@hotmail.com</t>
  </si>
  <si>
    <t>Los Molinos</t>
  </si>
  <si>
    <t>Salón Comunal Barrio Molinos del Sur
Calle 49 dBis #5U-26 al aldo del colegio Marruecos Molinos</t>
  </si>
  <si>
    <t>UPL Artobizadora - socialización de las acciones del PIP en equipamiento cultural Colegio Restituido</t>
  </si>
  <si>
    <t xml:space="preserve">Eliza Ramos </t>
  </si>
  <si>
    <t>3112405056</t>
  </si>
  <si>
    <t>jacunidosporlapaz@gmail.com</t>
  </si>
  <si>
    <t>Arborizadora Alta</t>
  </si>
  <si>
    <t>CDC Arborizadora Alta-Cra 41 # 69M Sur</t>
  </si>
  <si>
    <t xml:space="preserve">Proyectos integrados de proximidad y presupuestos </t>
  </si>
  <si>
    <t>UPL Bosa - Socializacion de acciones de PIP - UPL</t>
  </si>
  <si>
    <t>Realizar socialización de los PIPs priorizados en la UPL Bosa que estarán en presupuestos participativos.</t>
  </si>
  <si>
    <t>Galan I Sector</t>
  </si>
  <si>
    <t>Salón Comunal Jose Antonio Galán I Sector, Cra 78j · 58i - 10 Sur</t>
  </si>
  <si>
    <t>Socialización de UPL, Proyectos Integrales de Proximidad y acciones priorizadas en Presupuestos Participativos</t>
  </si>
  <si>
    <t>UPL Salitre - Socialización de las acciones del PIP UPL Salitre Conservacion malla vial y andenes Diagonal 47 entre carrera 76 a 74A</t>
  </si>
  <si>
    <t>Realizar Socialización de las acciones del PIP UPL Salitre</t>
  </si>
  <si>
    <t xml:space="preserve">Carlos </t>
  </si>
  <si>
    <t>3123780302</t>
  </si>
  <si>
    <t>Cra. 99 #19-43</t>
  </si>
  <si>
    <t>Acciones de los pip para presupuestos participativos y los pip de Upl salitre</t>
  </si>
  <si>
    <t>UPL Centro Historico Socializacion de las acciones PIP UPL Santa Rosa de Lima</t>
  </si>
  <si>
    <t>Sol Perez</t>
  </si>
  <si>
    <t>3023608841</t>
  </si>
  <si>
    <t>Santa Rosa de Lima</t>
  </si>
  <si>
    <t>Salón comunal Santa rosa de lima calle 1D # 6-03 este</t>
  </si>
  <si>
    <t>UPL Kennedy, Patio Bonito y Edén - socialización de las acciones del PIP</t>
  </si>
  <si>
    <t>Articular las propuestas de presupuetos participativo con los PIP de la localidad</t>
  </si>
  <si>
    <t>Territorio suroccidente</t>
  </si>
  <si>
    <t>calle 43 sur # 73d – 20</t>
  </si>
  <si>
    <t xml:space="preserve">Upl Salitre - Socialización acciones PIP para presupuestos participativos </t>
  </si>
  <si>
    <t xml:space="preserve">Socializar las acciones de los pip para presupuestos participativos </t>
  </si>
  <si>
    <t>Hector Zanin</t>
  </si>
  <si>
    <t>3107820382</t>
  </si>
  <si>
    <t>Calle 19 a 91-05</t>
  </si>
  <si>
    <t>UPL Suba- socializacion de las acciones PIP UPL( malla vial y parques)</t>
  </si>
  <si>
    <t>Socializar las acciones PIP - PP prioridades para la UPL Suba</t>
  </si>
  <si>
    <t>Gladys Telecua</t>
  </si>
  <si>
    <t>3054188407</t>
  </si>
  <si>
    <t>Tuna Alta</t>
  </si>
  <si>
    <t>Calle 155 a # 88-05</t>
  </si>
  <si>
    <t>UPL Tabora - Socialización de Acciones PIP-UPL - Parques Barrio San Marcos</t>
  </si>
  <si>
    <t>Mireya Linares</t>
  </si>
  <si>
    <t>3007768006</t>
  </si>
  <si>
    <t>mireya.linares@gmail.com</t>
  </si>
  <si>
    <t>San Marcos</t>
  </si>
  <si>
    <t>Carrera 80 # 67-99</t>
  </si>
  <si>
    <t>Se socializaron dos acciones que están postuladas dentro del PIP Circuito Álamos-Villaluz en el marco de los presupuestos participativos</t>
  </si>
  <si>
    <t>UPL Barrios Unidos - socialización de las acciones PIP (parques)</t>
  </si>
  <si>
    <t xml:space="preserve">Pedagogía y socializacion de las acciones de los PIP y PP de la UPL Barrios Unidos.
</t>
  </si>
  <si>
    <t>Polo Club</t>
  </si>
  <si>
    <t>Calle 86a #24 (Polideportivos Polo Club)</t>
  </si>
  <si>
    <t>Se hablo acerca de las acciones que se lograron integrar dentro de los PIP, mediante las iniciativas ciudadanas para los Presupuestos Participativos 2024, así mismo hubo una pequeña sesión pedagogica de lo que significa una UPL y PIPs.</t>
  </si>
  <si>
    <t>UPL Engativá - Socialización de Acciones PIP-UPL - Barrio La Perla</t>
  </si>
  <si>
    <t xml:space="preserve">Realizar pedagogía sobre las acciones PIP de la UPL Engativá, en el marco de la ruta Transforma lo Local de Presupuestos Participativos. </t>
  </si>
  <si>
    <t>Ronal Vargas</t>
  </si>
  <si>
    <t>3133326987</t>
  </si>
  <si>
    <t>laperlabarrio@gmail.com</t>
  </si>
  <si>
    <t>La Perla</t>
  </si>
  <si>
    <t>Carrera 112 f # 72c</t>
  </si>
  <si>
    <t xml:space="preserve">Día del peatón - Sierra Morena </t>
  </si>
  <si>
    <t>Realizar socialización de los sistemas de participación en el día del peatón.</t>
  </si>
  <si>
    <t>Movilidad</t>
  </si>
  <si>
    <t>3508855801</t>
  </si>
  <si>
    <t>jsebastiandaza@gmail.com</t>
  </si>
  <si>
    <t>Sierra Morena</t>
  </si>
  <si>
    <t>calle 75c sur # 73 - 41 a 73 - 13</t>
  </si>
  <si>
    <t>Socialización de los sistemas de participación – Socialización de PIP UPL Arborizadora.</t>
  </si>
  <si>
    <t>UPL Puente Aranda - Socialización de las acciones del PIP Mejoramiento En Parques Veraguas Central, Occidental ,Bochica y Nodo de encuentro Veraguas</t>
  </si>
  <si>
    <t>Diego Rodriguez</t>
  </si>
  <si>
    <t>3006630123</t>
  </si>
  <si>
    <t>diegorgamboa@hotmail.com</t>
  </si>
  <si>
    <t>Veraguas Central</t>
  </si>
  <si>
    <t xml:space="preserve">Cll 4 a N. 32b- 75 Salón Comunal Veraguas  </t>
  </si>
  <si>
    <t xml:space="preserve">UPL Torca. Socialización de las acciones del PIP Construcción y conservación de redes peatonales en Canaima </t>
  </si>
  <si>
    <t xml:space="preserve">Realizar pedagogía sobre las acciones PIP de la UPL Torca, en el marco de la ruta Transforma lo Local de Presupuestos Participativos. </t>
  </si>
  <si>
    <t xml:space="preserve">John Otalora </t>
  </si>
  <si>
    <t>3102007068</t>
  </si>
  <si>
    <t xml:space="preserve">No Aplica </t>
  </si>
  <si>
    <t>Calle 196 con Carrera 21</t>
  </si>
  <si>
    <t>UPL Tibabuyes- Socialización de las acciones PIP-UPL (Parques y Malla vial)</t>
  </si>
  <si>
    <t xml:space="preserve">Socializar las acciones PIP priorizadas para el sector en temas de Parques, Malla vial y ambiente </t>
  </si>
  <si>
    <t xml:space="preserve">Gilberto verá </t>
  </si>
  <si>
    <t>3103834849</t>
  </si>
  <si>
    <t xml:space="preserve">Parque de la Virgen -Carrera 151a # 142b-99 </t>
  </si>
  <si>
    <t xml:space="preserve"> UPL Rafael Uribe Socializaciónde las acciones PIP-UPL Barrio Bochica Sur</t>
  </si>
  <si>
    <t>Realizar la socializacíon de los poroyectos integrales de proximidad en la UPL Rafael Uribe Uribe - Barrio Bochica Sur</t>
  </si>
  <si>
    <t>Jairo Ricardo Esparza</t>
  </si>
  <si>
    <t>3007154213</t>
  </si>
  <si>
    <t>jac.bochicasur22.26@gmail.com</t>
  </si>
  <si>
    <t>Bochica Sur</t>
  </si>
  <si>
    <t>UPL - Rafael Uribe Uribe -de las acciones PIP-UPL Barrio Bochica Sur 2</t>
  </si>
  <si>
    <t xml:space="preserve">Juan Carlos Roldán </t>
  </si>
  <si>
    <t>314 3022717</t>
  </si>
  <si>
    <t>juancarlosmillos20@gmail.com</t>
  </si>
  <si>
    <t xml:space="preserve">UPL Suba Rincón- Socializacion de las acciones PIP- UPL ( malla vial y parques </t>
  </si>
  <si>
    <t xml:space="preserve">Socializar las acciones PIP - PP de la UPL Suba Rincón </t>
  </si>
  <si>
    <t>Gloria Isabel Lopez</t>
  </si>
  <si>
    <t>3138650445</t>
  </si>
  <si>
    <t xml:space="preserve">chabola.abril@ gmail.com </t>
  </si>
  <si>
    <t>Palma Aldea</t>
  </si>
  <si>
    <t>Kr 89 # 130a 21</t>
  </si>
  <si>
    <t>UPL Tibabuyes- socialización de las acciones del PIP-UPL (malla vial, parques, ambiente y animales)</t>
  </si>
  <si>
    <t xml:space="preserve">Socializar las acciones PIP -PP priorizadas para la UPL Tibabuyes </t>
  </si>
  <si>
    <t xml:space="preserve">Gilberto Vera </t>
  </si>
  <si>
    <t>Carrera 151g #142c18</t>
  </si>
  <si>
    <t xml:space="preserve">UPL Sumapaz - Socialización acciones PIP (20) - JAL Sumapaz </t>
  </si>
  <si>
    <t xml:space="preserve">Socializar las acciones de los Proyectos Integrales de Proximidad que hacen parte de la Ruta Transforma lo Local. </t>
  </si>
  <si>
    <t>José Parra</t>
  </si>
  <si>
    <t>320 9401634</t>
  </si>
  <si>
    <t>jose2020parra@gmail.com</t>
  </si>
  <si>
    <t xml:space="preserve">UPL britalia - recorrido socialización acciones PIP barrios britalia, victoria norte y prado pinzon, parques Urb San Cipriano, la moneda, Taormina, portal de mochuelo </t>
  </si>
  <si>
    <t xml:space="preserve">09:30 </t>
  </si>
  <si>
    <t xml:space="preserve">Realizar pedagogía sobre proceso de priorización de PIP de la UPL Britalia en Presupuestos participativos de la localidad de suba </t>
  </si>
  <si>
    <t xml:space="preserve">Recorrido por Parque urbanización san Cipriano, P. Urb. Taormina, P. Urb. La moneda, P. Urb. Portal de Mochuelo, P. Urb. El llano de san Joseli, P. Urb. Granada norte y Barrios Victoria norte y prado pinzon </t>
  </si>
  <si>
    <t xml:space="preserve">Promover pedagogía del POT - UPL y realizar socialización de los PIPs priorizados en la UPL Teusaquillo. </t>
  </si>
  <si>
    <t>Omar Giovanny Rodríguez Quijano</t>
  </si>
  <si>
    <t>312 579 8769</t>
  </si>
  <si>
    <t>ogrodriguez@participacionbogota.gov.co</t>
  </si>
  <si>
    <t>Socializar la Unidad de Planeamiento Local como herramienta de planificación y socializar los PIPs priorizados en la Localidad Antonio Nariño y sus respectivas acciones.</t>
  </si>
  <si>
    <t>Maryi Tatiana Soler Rodríguez</t>
  </si>
  <si>
    <t>311 866 2290</t>
  </si>
  <si>
    <t>Santa Lucía</t>
  </si>
  <si>
    <t>Cra 20 #19 Sur-26, Bogotá</t>
  </si>
  <si>
    <t>Acompañmiento al encuentro Nacional de Entornos Accesibles - Secretaría de Cultura, Recreación y Deporte</t>
  </si>
  <si>
    <t>Asistir en representación de la OPDC al evento citado por la Secretaría de Cultura, Recreación y Deporte.</t>
  </si>
  <si>
    <t>Secretaría de Cultura, Recreación y Deporte</t>
  </si>
  <si>
    <t>Reunión Sectorial RenoBo - Fortalecimiento sobre el SPT</t>
  </si>
  <si>
    <t>Fortalecer el conocimiento respecto al SPT y exponer los alcances del seguimiento de la SDP.OPDC en el proceso de formulación de las AE.</t>
  </si>
  <si>
    <t>Autopista Norte # 97 - 70 Edificio Porto 100</t>
  </si>
  <si>
    <t>Mesa de trabajo SPT: Pueblo Muisca de Bogotá</t>
  </si>
  <si>
    <t>Realizar mesa de trabajo con el Pueblo Muisca de Bogotá que permita construir un plan de trabajo para el último trimestre del año en relación con el SSSM.</t>
  </si>
  <si>
    <t>3133734752</t>
  </si>
  <si>
    <t>cabildo.muiscabosa@gmail.com</t>
  </si>
  <si>
    <t>Cabildo Indígena Muisca de Bosa, Transversal 87B #79C- 42 sur</t>
  </si>
  <si>
    <t xml:space="preserve">UPL Sumapaz - Socialización de las acciones PIP - 20 ACCIONES (CPL) </t>
  </si>
  <si>
    <t>Andrés</t>
  </si>
  <si>
    <t>Mesa de trabajo con el CTPD sobre Asambleas Deliberativas</t>
  </si>
  <si>
    <t>Tener una mesa de trabajo con el CTPD sobre Asambleas Deliberativas.</t>
  </si>
  <si>
    <t>Club Colombo Libanes, Calle 87 # 9 - 23</t>
  </si>
  <si>
    <t xml:space="preserve">Curso Primer Respondiente </t>
  </si>
  <si>
    <t>Capacitar a 20 personas del equipo OPDC en primeros auxilios.</t>
  </si>
  <si>
    <t>Secretaría Salud</t>
  </si>
  <si>
    <t xml:space="preserve">Por confirmar </t>
  </si>
  <si>
    <t>Proceso de Información Pública para Propietarios y Vecinos Colindantes del Plan Parcial de Desarrollo “Las Flores”</t>
  </si>
  <si>
    <t>Convocar a propietarios de los predios incluidos en el ámbito del plan parcial, a vecinos colindantes, entidades y terceros interesados a la jornada de socialización de la propuesta, de manera que puedan conocerla, expresar sus recomendaciones y observaciones de acuerdo a lo establecido en el artículo 27 de la Ley 388 de 1997.</t>
  </si>
  <si>
    <t>bbaez@sdp.gov.co</t>
  </si>
  <si>
    <t>Lagos de Torca</t>
  </si>
  <si>
    <t>Autopista Norte No. 224-60</t>
  </si>
  <si>
    <t>Convocatoria: Conformación del comité animalista para la "Casa Ecologica de los Animales"</t>
  </si>
  <si>
    <t>Socialización de los comites ciudadanos - Conformación del comité ciudadano para la casa ecologica de los animales.</t>
  </si>
  <si>
    <t>Cimunidad animalista</t>
  </si>
  <si>
    <t>Auditorio del 2 piso del SUPER CADE</t>
  </si>
  <si>
    <t xml:space="preserve">Sesión ordinaria de la Mesa Distrital de Participación Efectiva Víctimas del Conflicto Armado Interno </t>
  </si>
  <si>
    <t>Implementar el escenario especializado del Sistema de Participación Territorial.</t>
  </si>
  <si>
    <t>Edwin Jonathan Aroca Osma</t>
  </si>
  <si>
    <t>Calle 12b N 8-23 edificio Calle 13. Oficina 615</t>
  </si>
  <si>
    <t>CLIP de chapinero , socialización del POT conceptos claves y aclaraciones.</t>
  </si>
  <si>
    <t>305 3986582</t>
  </si>
  <si>
    <t xml:space="preserve"> aigua@participacionbogota.gov.co</t>
  </si>
  <si>
    <t>Cra 13 - 54</t>
  </si>
  <si>
    <t>Alcaldia Local De Puente Aranda</t>
  </si>
  <si>
    <t>SELECCIÓN</t>
  </si>
  <si>
    <t>PROCESO</t>
  </si>
  <si>
    <t>MODALIDAD</t>
  </si>
  <si>
    <t>PROFESIONALES OPDC</t>
  </si>
  <si>
    <t>TIPOS DE ACTOR</t>
  </si>
  <si>
    <t>CLASIFICACIÓN DEL TIPO DE ACTOR</t>
  </si>
  <si>
    <t>LOCALIDAD</t>
  </si>
  <si>
    <t>TERRITORIOS</t>
  </si>
  <si>
    <t>MECANISMOS</t>
  </si>
  <si>
    <t>STATUS</t>
  </si>
  <si>
    <t>ÍTEM</t>
  </si>
  <si>
    <t>RUTA DE PARTICIPACIÓN</t>
  </si>
  <si>
    <t>ESTRATEGIAS DE ADAPTACIÓN</t>
  </si>
  <si>
    <t>CUMPLIMIENTO DEL OBJETIVO</t>
  </si>
  <si>
    <t>UPL</t>
  </si>
  <si>
    <t>VALORES</t>
  </si>
  <si>
    <t>Sí</t>
  </si>
  <si>
    <t>Agentes Internacionales</t>
  </si>
  <si>
    <t>No</t>
  </si>
  <si>
    <t>Enfoque poblacional diferencial y de género</t>
  </si>
  <si>
    <t>Parcialmente</t>
  </si>
  <si>
    <t>CAR</t>
  </si>
  <si>
    <t>Desarrollo del Suelo</t>
  </si>
  <si>
    <t>Varios</t>
  </si>
  <si>
    <t>Columnistas</t>
  </si>
  <si>
    <t>Observatorio del Sistema del Cuidado y Servicios Sociales</t>
  </si>
  <si>
    <t>Congresista</t>
  </si>
  <si>
    <t>Plan del Sistema de Cuidado y Servicios Sociales</t>
  </si>
  <si>
    <t>Felipe Rey Salamanca</t>
  </si>
  <si>
    <t>Medios de comunicación masivos</t>
  </si>
  <si>
    <t>Organizaciones de Cultos</t>
  </si>
  <si>
    <t>Integración Regional</t>
  </si>
  <si>
    <t>Sindicatos</t>
  </si>
  <si>
    <t>Universidad Pública</t>
  </si>
  <si>
    <t>Liderazgo del Sistema de Participación Territorial</t>
  </si>
  <si>
    <t>No Específica</t>
  </si>
  <si>
    <t>ID</t>
  </si>
  <si>
    <t>NOMBRE</t>
  </si>
  <si>
    <t>FECHA</t>
  </si>
  <si>
    <t># COMPROMISOS</t>
  </si>
  <si>
    <t>CUMPLIDOS</t>
  </si>
  <si>
    <t>DEVUELTOS A CIUDADANÍA</t>
  </si>
  <si>
    <t>MATRIZ OPERATIVA PLAN INSTITUCIONAL DE PARTICIPACIÓN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</si>
</sst>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h&quot;:&quot;mm&quot; &quot;AM/PM"/>
    <numFmt numFmtId="165" formatCode="[$-F400]h:mm:ss\ AM/PM"/>
    <numFmt numFmtId="166" formatCode="dddd&quot;, &quot;d&quot; de &quot;mmmm"/>
    <numFmt numFmtId="167" formatCode="_-&quot;$&quot;\ * #,##0_-;\-&quot;$&quot;\ * #,##0_-;_-&quot;$&quot;\ * &quot;-&quot;_-;_-@"/>
    <numFmt numFmtId="169" formatCode="d&quot;-&quot;mmm&quot;-&quot;yyyy"/>
    <numFmt numFmtId="171" formatCode="d/m/yyyy"/>
  </numFmts>
  <fonts count="31">
    <font>
      <sz val="10"/>
      <color rgb="FF000000"/>
      <name val="Arial"/>
      <scheme val="minor"/>
    </font>
    <font>
      <sz val="11"/>
      <color theme="1"/>
      <name val="Calibri"/>
    </font>
    <font>
      <sz val="10"/>
      <color rgb="FF000000"/>
      <name val="Calibri"/>
    </font>
    <font>
      <b/>
      <sz val="7"/>
      <color rgb="FF000000"/>
      <name val="Calibri"/>
    </font>
    <font>
      <b/>
      <sz val="11"/>
      <color rgb="FF000000"/>
      <name val="Calibri"/>
    </font>
    <font>
      <b/>
      <sz val="11"/>
      <color rgb="FFFFFFFF"/>
      <name val="Calibri"/>
    </font>
    <font>
      <sz val="8"/>
      <color rgb="FF000000"/>
      <name val="Calibri"/>
    </font>
    <font>
      <sz val="9"/>
      <color rgb="FF000000"/>
      <name val="Calibri"/>
    </font>
    <font>
      <sz val="10"/>
      <color theme="1"/>
      <name val="Arial"/>
      <scheme val="minor"/>
    </font>
    <font>
      <sz val="10"/>
      <color theme="1"/>
      <name val="Calibri"/>
    </font>
    <font>
      <b/>
      <sz val="10"/>
      <color theme="1"/>
      <name val="Calibri"/>
    </font>
    <font>
      <b/>
      <sz val="9"/>
      <color rgb="FF000000"/>
      <name val="Calibri"/>
    </font>
    <font>
      <b/>
      <sz val="9"/>
      <color rgb="FFFFFFFF"/>
      <name val="Calibri"/>
    </font>
    <font>
      <sz val="9"/>
      <color rgb="FF000000"/>
      <name val="Arial"/>
      <scheme val="minor"/>
    </font>
    <font>
      <sz val="8"/>
      <color theme="1"/>
      <name val="Calibri"/>
    </font>
    <font>
      <u/>
      <sz val="8"/>
      <color theme="1"/>
      <name val="Calibri"/>
    </font>
    <font>
      <u/>
      <sz val="8"/>
      <color rgb="FF0000FF"/>
      <name val="Calibri"/>
    </font>
    <font>
      <sz val="8"/>
      <name val="Calibri"/>
    </font>
    <font>
      <u/>
      <sz val="8"/>
      <color rgb="FF1155CC"/>
      <name val="Calibri"/>
    </font>
    <font>
      <u/>
      <sz val="10"/>
      <color theme="10"/>
      <name val="Arial"/>
      <scheme val="minor"/>
    </font>
    <font>
      <u/>
      <sz val="8"/>
      <color theme="10"/>
      <name val="Calibri"/>
    </font>
    <font>
      <u/>
      <sz val="8"/>
      <color rgb="FF000000"/>
      <name val="Calibri"/>
    </font>
    <font>
      <sz val="8"/>
      <color rgb="FF000000"/>
      <name val="Calibri"/>
      <charset val="1"/>
    </font>
    <font>
      <sz val="8"/>
      <color rgb="FF000000"/>
      <name val="Pantalla aptos"/>
    </font>
    <font>
      <b/>
      <sz val="8"/>
      <color rgb="FF000000"/>
      <name val="Pantalla aptos"/>
    </font>
    <font>
      <sz val="8"/>
      <color theme="1"/>
      <name val="Pantalla aptos"/>
    </font>
    <font>
      <sz val="8"/>
      <name val="Pantalla aptos"/>
    </font>
    <font>
      <u/>
      <sz val="9"/>
      <color theme="10"/>
      <name val="Calibri"/>
    </font>
    <font>
      <u/>
      <sz val="9"/>
      <color theme="10"/>
      <name val="Arial"/>
      <scheme val="minor"/>
    </font>
    <font>
      <u/>
      <sz val="10"/>
      <color theme="10"/>
      <name val="Calibri"/>
    </font>
    <font>
      <u/>
      <sz val="8"/>
      <color theme="10"/>
      <name val="Arial"/>
      <scheme val="minor"/>
    </font>
  </fonts>
  <fills count="11">
    <fill>
      <patternFill patternType="none"/>
    </fill>
    <fill>
      <patternFill patternType="gray125"/>
    </fill>
    <fill>
      <patternFill patternType="solid">
        <fgColor theme="0"/>
        <bgColor theme="0"/>
      </patternFill>
    </fill>
    <fill>
      <patternFill patternType="solid">
        <fgColor rgb="FFEFEFEF"/>
        <bgColor rgb="FFEFEFEF"/>
      </patternFill>
    </fill>
    <fill>
      <patternFill patternType="solid">
        <fgColor rgb="FFFFFFFF"/>
        <bgColor rgb="FFFFFFFF"/>
      </patternFill>
    </fill>
    <fill>
      <patternFill patternType="solid">
        <fgColor rgb="FFE3D5CA"/>
        <bgColor rgb="FFE3D5CA"/>
      </patternFill>
    </fill>
    <fill>
      <patternFill patternType="solid">
        <fgColor rgb="FFD19277"/>
        <bgColor rgb="FFD19277"/>
      </patternFill>
    </fill>
    <fill>
      <patternFill patternType="solid">
        <fgColor rgb="FFA1A18A"/>
        <bgColor rgb="FFA1A18A"/>
      </patternFill>
    </fill>
    <fill>
      <patternFill patternType="solid">
        <fgColor rgb="FF615D4C"/>
        <bgColor rgb="FF615D4C"/>
      </patternFill>
    </fill>
    <fill>
      <patternFill patternType="solid">
        <fgColor rgb="FF969268"/>
        <bgColor rgb="FF969268"/>
      </patternFill>
    </fill>
    <fill>
      <patternFill patternType="solid">
        <fgColor rgb="FFE1D5CA"/>
        <bgColor indexed="64"/>
      </patternFill>
    </fill>
  </fills>
  <borders count="17">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CCCCC"/>
      </left>
      <right style="thin">
        <color rgb="FFCCCCCC"/>
      </right>
      <top/>
      <bottom style="thin">
        <color rgb="FFCCCCCC"/>
      </bottom>
      <diagonal/>
    </border>
    <border>
      <left/>
      <right style="thin">
        <color rgb="FFD9D9D9"/>
      </right>
      <top style="thin">
        <color rgb="FFFFFFFF"/>
      </top>
      <bottom style="thin">
        <color rgb="FFFFFFF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00000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rgb="FF000000"/>
      </left>
      <right style="thin">
        <color rgb="FF000000"/>
      </right>
      <top style="thin">
        <color rgb="FF000000"/>
      </top>
      <bottom style="thin">
        <color rgb="FF000000"/>
      </bottom>
      <diagonal/>
    </border>
    <border>
      <left/>
      <right/>
      <top style="thin">
        <color theme="4" tint="0.39997558519241921"/>
      </top>
      <bottom style="thin">
        <color theme="4" tint="0.39997558519241921"/>
      </bottom>
      <diagonal/>
    </border>
  </borders>
  <cellStyleXfs count="2">
    <xf numFmtId="0" fontId="0" fillId="0" borderId="0"/>
    <xf numFmtId="0" fontId="19" fillId="0" borderId="0" applyNumberFormat="0" applyFill="0" applyBorder="0" applyAlignment="0" applyProtection="0"/>
  </cellStyleXfs>
  <cellXfs count="143">
    <xf numFmtId="0" fontId="0" fillId="0" borderId="0" xfId="0"/>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4" borderId="1" xfId="0" applyFont="1" applyFill="1" applyBorder="1" applyAlignment="1">
      <alignment vertical="center" wrapText="1"/>
    </xf>
    <xf numFmtId="0" fontId="4" fillId="5"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5" fillId="8" borderId="5" xfId="0" applyFont="1" applyFill="1" applyBorder="1" applyAlignment="1">
      <alignment horizontal="center" vertical="center"/>
    </xf>
    <xf numFmtId="9" fontId="4" fillId="5" borderId="5" xfId="0" applyNumberFormat="1" applyFont="1" applyFill="1" applyBorder="1" applyAlignment="1">
      <alignment horizontal="center" vertical="center" wrapText="1"/>
    </xf>
    <xf numFmtId="0" fontId="8" fillId="0" borderId="0" xfId="0" applyFont="1"/>
    <xf numFmtId="0" fontId="9" fillId="0" borderId="0" xfId="0" applyFont="1" applyAlignment="1">
      <alignment horizontal="center" vertical="center" wrapText="1"/>
    </xf>
    <xf numFmtId="169" fontId="9" fillId="0" borderId="0" xfId="0" applyNumberFormat="1"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vertical="center" wrapText="1"/>
    </xf>
    <xf numFmtId="171" fontId="5" fillId="6" borderId="5" xfId="0" applyNumberFormat="1" applyFont="1" applyFill="1" applyBorder="1" applyAlignment="1">
      <alignment horizontal="center" vertical="center" wrapText="1"/>
    </xf>
    <xf numFmtId="49" fontId="4" fillId="5" borderId="5" xfId="0" applyNumberFormat="1" applyFont="1" applyFill="1" applyBorder="1" applyAlignment="1">
      <alignment horizontal="center" vertical="center" wrapText="1"/>
    </xf>
    <xf numFmtId="49" fontId="9" fillId="0" borderId="0" xfId="0" applyNumberFormat="1" applyFont="1" applyAlignment="1">
      <alignment horizontal="center" vertical="center" wrapText="1"/>
    </xf>
    <xf numFmtId="9" fontId="9" fillId="0" borderId="0" xfId="0" applyNumberFormat="1" applyFont="1" applyAlignment="1">
      <alignment horizontal="center" vertical="center" wrapText="1"/>
    </xf>
    <xf numFmtId="9" fontId="8" fillId="0" borderId="0" xfId="0" applyNumberFormat="1" applyFont="1"/>
    <xf numFmtId="171" fontId="8" fillId="0" borderId="0" xfId="0" applyNumberFormat="1" applyFont="1"/>
    <xf numFmtId="49" fontId="8" fillId="0" borderId="0" xfId="0" applyNumberFormat="1" applyFont="1"/>
    <xf numFmtId="0" fontId="9" fillId="4" borderId="0" xfId="0" applyFont="1" applyFill="1" applyAlignment="1">
      <alignment horizontal="center" vertical="center" wrapText="1"/>
    </xf>
    <xf numFmtId="0" fontId="7" fillId="2" borderId="4" xfId="0" applyFont="1" applyFill="1" applyBorder="1" applyAlignment="1">
      <alignment vertical="center" wrapText="1"/>
    </xf>
    <xf numFmtId="0" fontId="7" fillId="0" borderId="3" xfId="0" applyFont="1" applyBorder="1" applyAlignment="1">
      <alignment vertical="center" wrapText="1"/>
    </xf>
    <xf numFmtId="0" fontId="6" fillId="0" borderId="4" xfId="0" applyFont="1" applyBorder="1" applyAlignment="1">
      <alignment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7" fillId="0" borderId="4" xfId="0" applyFont="1" applyBorder="1" applyAlignment="1">
      <alignment vertical="center" wrapText="1"/>
    </xf>
    <xf numFmtId="0" fontId="5" fillId="3" borderId="5" xfId="0" applyFont="1" applyFill="1" applyBorder="1" applyAlignment="1">
      <alignment horizontal="center" vertical="center" wrapText="1"/>
    </xf>
    <xf numFmtId="167" fontId="4" fillId="3" borderId="5" xfId="0" applyNumberFormat="1" applyFont="1" applyFill="1" applyBorder="1" applyAlignment="1">
      <alignment horizontal="center" vertical="center" wrapText="1"/>
    </xf>
    <xf numFmtId="0" fontId="11" fillId="5" borderId="9" xfId="0" applyFont="1" applyFill="1" applyBorder="1" applyAlignment="1">
      <alignment horizontal="center" vertical="center" wrapText="1"/>
    </xf>
    <xf numFmtId="166" fontId="12" fillId="6" borderId="9" xfId="0" applyNumberFormat="1" applyFont="1" applyFill="1" applyBorder="1" applyAlignment="1">
      <alignment horizontal="center" vertical="center" wrapText="1"/>
    </xf>
    <xf numFmtId="164" fontId="12" fillId="6" borderId="9" xfId="0" applyNumberFormat="1" applyFont="1" applyFill="1" applyBorder="1" applyAlignment="1">
      <alignment horizontal="center" vertical="center" wrapText="1"/>
    </xf>
    <xf numFmtId="167" fontId="11" fillId="7" borderId="9" xfId="0" applyNumberFormat="1" applyFont="1" applyFill="1" applyBorder="1" applyAlignment="1">
      <alignment horizontal="center" vertical="center" wrapText="1"/>
    </xf>
    <xf numFmtId="0" fontId="12" fillId="8" borderId="9" xfId="0"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166" fontId="5" fillId="3" borderId="5" xfId="0" applyNumberFormat="1"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0" fontId="11" fillId="9" borderId="9" xfId="0" applyFont="1" applyFill="1" applyBorder="1" applyAlignment="1">
      <alignment horizontal="center" vertical="center" wrapText="1"/>
    </xf>
    <xf numFmtId="0" fontId="14" fillId="0" borderId="4" xfId="0" applyFont="1" applyBorder="1" applyAlignment="1">
      <alignment vertical="center" wrapText="1"/>
    </xf>
    <xf numFmtId="0" fontId="6" fillId="0" borderId="3" xfId="0" applyFont="1" applyBorder="1" applyAlignment="1">
      <alignment vertical="center" wrapText="1"/>
    </xf>
    <xf numFmtId="0" fontId="14" fillId="0" borderId="8" xfId="0" applyFont="1" applyBorder="1" applyAlignment="1">
      <alignment horizontal="center" vertical="center" wrapText="1"/>
    </xf>
    <xf numFmtId="0" fontId="14" fillId="0" borderId="8" xfId="0" applyFont="1" applyBorder="1" applyAlignment="1">
      <alignment vertical="center" wrapText="1"/>
    </xf>
    <xf numFmtId="166" fontId="14" fillId="0" borderId="8" xfId="0" applyNumberFormat="1" applyFont="1" applyBorder="1" applyAlignment="1">
      <alignment horizontal="center" vertical="center" wrapText="1"/>
    </xf>
    <xf numFmtId="164" fontId="14" fillId="0" borderId="8" xfId="0" applyNumberFormat="1" applyFont="1" applyBorder="1" applyAlignment="1">
      <alignment horizontal="center" vertical="center" wrapText="1"/>
    </xf>
    <xf numFmtId="0" fontId="14" fillId="0" borderId="8"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0" xfId="0" applyAlignment="1">
      <alignment wrapText="1"/>
    </xf>
    <xf numFmtId="0" fontId="13" fillId="0" borderId="0" xfId="0" applyFont="1" applyAlignment="1">
      <alignment wrapText="1"/>
    </xf>
    <xf numFmtId="0" fontId="6" fillId="0" borderId="0" xfId="0" applyFont="1" applyAlignment="1">
      <alignment wrapText="1"/>
    </xf>
    <xf numFmtId="0" fontId="6" fillId="0" borderId="0" xfId="0" applyFont="1" applyAlignment="1">
      <alignment horizontal="center" vertical="center" wrapText="1"/>
    </xf>
    <xf numFmtId="0" fontId="6" fillId="0" borderId="0" xfId="0" applyFont="1" applyAlignment="1">
      <alignment horizontal="center" wrapText="1"/>
    </xf>
    <xf numFmtId="0" fontId="24" fillId="0" borderId="1" xfId="0" applyFont="1" applyBorder="1" applyAlignment="1">
      <alignment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164"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4" fillId="2" borderId="1" xfId="0" applyFont="1" applyFill="1" applyBorder="1" applyAlignment="1">
      <alignment vertical="center" wrapText="1"/>
    </xf>
    <xf numFmtId="0" fontId="24" fillId="0" borderId="1" xfId="0" applyFont="1" applyBorder="1" applyAlignment="1">
      <alignment horizontal="left" vertical="center" wrapText="1"/>
    </xf>
    <xf numFmtId="0" fontId="23" fillId="0" borderId="1" xfId="0" applyFont="1" applyBorder="1" applyAlignment="1">
      <alignment vertical="center" wrapText="1"/>
    </xf>
    <xf numFmtId="0" fontId="23" fillId="0" borderId="0" xfId="0" applyFont="1" applyAlignment="1">
      <alignment wrapText="1"/>
    </xf>
    <xf numFmtId="0" fontId="11" fillId="10" borderId="9" xfId="0" applyFont="1" applyFill="1" applyBorder="1" applyAlignment="1">
      <alignment horizontal="center" vertical="center" wrapText="1"/>
    </xf>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20" fillId="0" borderId="0" xfId="1" applyFont="1" applyFill="1" applyBorder="1" applyAlignment="1">
      <alignment vertical="center" wrapText="1"/>
    </xf>
    <xf numFmtId="0" fontId="4" fillId="3" borderId="0" xfId="0" applyFont="1" applyFill="1" applyAlignment="1">
      <alignment horizontal="center" vertical="center" wrapText="1"/>
    </xf>
    <xf numFmtId="165" fontId="5" fillId="3" borderId="0" xfId="0" applyNumberFormat="1" applyFont="1" applyFill="1" applyAlignment="1">
      <alignment horizontal="center" vertical="center" wrapText="1"/>
    </xf>
    <xf numFmtId="166" fontId="5" fillId="3" borderId="0" xfId="0" applyNumberFormat="1" applyFont="1" applyFill="1" applyAlignment="1">
      <alignment horizontal="center" vertical="center" wrapText="1"/>
    </xf>
    <xf numFmtId="164" fontId="5" fillId="3" borderId="0" xfId="0" applyNumberFormat="1" applyFont="1" applyFill="1" applyAlignment="1">
      <alignment horizontal="center" vertical="center" wrapText="1"/>
    </xf>
    <xf numFmtId="167" fontId="4" fillId="3" borderId="0" xfId="0" applyNumberFormat="1" applyFont="1" applyFill="1" applyAlignment="1">
      <alignment horizontal="center" vertical="center" wrapText="1"/>
    </xf>
    <xf numFmtId="0" fontId="5" fillId="3" borderId="0" xfId="0" applyFont="1" applyFill="1" applyAlignment="1">
      <alignment horizontal="center" vertical="center" wrapText="1"/>
    </xf>
    <xf numFmtId="0" fontId="2" fillId="2" borderId="4" xfId="0" applyFont="1" applyFill="1" applyBorder="1" applyAlignment="1">
      <alignment vertical="center" wrapText="1"/>
    </xf>
    <xf numFmtId="0" fontId="4" fillId="3" borderId="0" xfId="0" applyFont="1" applyFill="1" applyAlignment="1">
      <alignment horizontal="left" vertical="center" wrapText="1"/>
    </xf>
    <xf numFmtId="0" fontId="2" fillId="4" borderId="4" xfId="0" applyFont="1" applyFill="1" applyBorder="1" applyAlignment="1">
      <alignment vertical="center" wrapText="1"/>
    </xf>
    <xf numFmtId="0" fontId="2" fillId="4" borderId="3" xfId="0" applyFont="1" applyFill="1" applyBorder="1" applyAlignment="1">
      <alignment vertical="center" wrapText="1"/>
    </xf>
    <xf numFmtId="0" fontId="24" fillId="0" borderId="2" xfId="0" applyFont="1" applyBorder="1" applyAlignment="1">
      <alignment horizontal="left" vertical="center" wrapText="1"/>
    </xf>
    <xf numFmtId="0" fontId="26" fillId="0" borderId="3" xfId="0" applyFont="1" applyBorder="1" applyAlignment="1">
      <alignment wrapText="1"/>
    </xf>
    <xf numFmtId="0" fontId="14" fillId="0" borderId="10" xfId="0" applyFont="1" applyFill="1" applyBorder="1" applyAlignment="1">
      <alignment horizontal="center" vertical="center" wrapText="1"/>
    </xf>
    <xf numFmtId="0" fontId="14" fillId="0" borderId="10" xfId="0" applyFont="1" applyFill="1" applyBorder="1" applyAlignment="1">
      <alignment vertical="center" wrapText="1"/>
    </xf>
    <xf numFmtId="166" fontId="14" fillId="0" borderId="10" xfId="0" applyNumberFormat="1" applyFont="1" applyFill="1" applyBorder="1" applyAlignment="1">
      <alignment horizontal="center" vertical="center" wrapText="1"/>
    </xf>
    <xf numFmtId="164" fontId="14" fillId="0" borderId="10" xfId="0" applyNumberFormat="1" applyFont="1" applyFill="1" applyBorder="1" applyAlignment="1">
      <alignment horizontal="center" vertical="center" wrapText="1"/>
    </xf>
    <xf numFmtId="0" fontId="14" fillId="0" borderId="4" xfId="0" applyFont="1" applyFill="1" applyBorder="1" applyAlignment="1">
      <alignment vertical="center" wrapText="1"/>
    </xf>
    <xf numFmtId="0" fontId="14" fillId="0" borderId="10"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3" xfId="0" applyFont="1" applyFill="1" applyBorder="1" applyAlignment="1">
      <alignment vertical="center" wrapText="1"/>
    </xf>
    <xf numFmtId="0" fontId="6" fillId="0" borderId="0" xfId="0" applyFont="1" applyFill="1" applyAlignment="1">
      <alignment wrapText="1"/>
    </xf>
    <xf numFmtId="0" fontId="14" fillId="0" borderId="8" xfId="0" applyFont="1" applyFill="1" applyBorder="1" applyAlignment="1">
      <alignment horizontal="center" vertical="center" wrapText="1"/>
    </xf>
    <xf numFmtId="166" fontId="14" fillId="0" borderId="8" xfId="0" applyNumberFormat="1" applyFont="1" applyFill="1" applyBorder="1" applyAlignment="1">
      <alignment horizontal="center" vertical="center" wrapText="1"/>
    </xf>
    <xf numFmtId="164" fontId="14" fillId="0" borderId="8" xfId="0" applyNumberFormat="1" applyFont="1" applyFill="1" applyBorder="1" applyAlignment="1">
      <alignment horizontal="center"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left" vertical="center" wrapText="1"/>
    </xf>
    <xf numFmtId="0" fontId="16" fillId="0" borderId="8" xfId="0" applyFont="1" applyFill="1" applyBorder="1" applyAlignment="1">
      <alignment vertical="center" wrapText="1"/>
    </xf>
    <xf numFmtId="0" fontId="19" fillId="0" borderId="8" xfId="1" applyFill="1" applyBorder="1" applyAlignment="1">
      <alignment vertical="center" wrapText="1"/>
    </xf>
    <xf numFmtId="0" fontId="6" fillId="0" borderId="8" xfId="0" applyFont="1" applyFill="1" applyBorder="1" applyAlignment="1">
      <alignment vertical="center" wrapText="1"/>
    </xf>
    <xf numFmtId="18" fontId="14" fillId="0" borderId="8" xfId="0" applyNumberFormat="1" applyFont="1" applyFill="1" applyBorder="1" applyAlignment="1">
      <alignment horizontal="center" vertical="center" wrapText="1"/>
    </xf>
    <xf numFmtId="0" fontId="14" fillId="0" borderId="8" xfId="0" applyFont="1" applyFill="1" applyBorder="1" applyAlignment="1">
      <alignment wrapText="1"/>
    </xf>
    <xf numFmtId="0" fontId="14" fillId="0" borderId="8" xfId="0" applyFont="1" applyFill="1" applyBorder="1" applyAlignment="1">
      <alignment horizontal="center" wrapText="1"/>
    </xf>
    <xf numFmtId="0" fontId="14" fillId="0" borderId="4" xfId="0" applyFont="1" applyFill="1" applyBorder="1" applyAlignment="1">
      <alignment wrapText="1"/>
    </xf>
    <xf numFmtId="0" fontId="14" fillId="0" borderId="7" xfId="0" applyFont="1" applyFill="1" applyBorder="1" applyAlignment="1">
      <alignment wrapText="1"/>
    </xf>
    <xf numFmtId="0" fontId="14" fillId="0" borderId="3" xfId="0" applyFont="1" applyFill="1" applyBorder="1" applyAlignment="1">
      <alignment wrapText="1"/>
    </xf>
    <xf numFmtId="0" fontId="21" fillId="0" borderId="8" xfId="0" applyFont="1" applyFill="1" applyBorder="1" applyAlignment="1">
      <alignment vertical="center" wrapText="1"/>
    </xf>
    <xf numFmtId="0" fontId="20" fillId="0" borderId="8" xfId="1" applyFont="1" applyFill="1" applyBorder="1" applyAlignment="1">
      <alignment vertical="center" wrapText="1"/>
    </xf>
    <xf numFmtId="166" fontId="14" fillId="0" borderId="14" xfId="0" applyNumberFormat="1" applyFont="1" applyFill="1" applyBorder="1" applyAlignment="1">
      <alignment horizontal="center" vertical="center" wrapText="1"/>
    </xf>
    <xf numFmtId="164" fontId="14" fillId="0" borderId="14" xfId="0" applyNumberFormat="1" applyFont="1" applyFill="1" applyBorder="1" applyAlignment="1">
      <alignment horizontal="center" vertical="center" wrapText="1"/>
    </xf>
    <xf numFmtId="0" fontId="21" fillId="0" borderId="8" xfId="1" applyFont="1" applyFill="1" applyBorder="1" applyAlignment="1">
      <alignment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8" xfId="0" quotePrefix="1" applyFont="1" applyFill="1" applyBorder="1" applyAlignment="1">
      <alignment horizontal="left" vertical="center" wrapText="1"/>
    </xf>
    <xf numFmtId="0" fontId="6" fillId="0" borderId="8" xfId="1" applyFont="1" applyFill="1" applyBorder="1" applyAlignment="1">
      <alignment vertical="center" wrapText="1"/>
    </xf>
    <xf numFmtId="0" fontId="14" fillId="0" borderId="8" xfId="0" applyFont="1" applyFill="1" applyBorder="1" applyAlignment="1">
      <alignment horizontal="center" vertical="top" wrapText="1"/>
    </xf>
    <xf numFmtId="0" fontId="15" fillId="0" borderId="8" xfId="1" applyFont="1" applyFill="1" applyBorder="1" applyAlignment="1">
      <alignment vertical="center" wrapText="1"/>
    </xf>
    <xf numFmtId="49" fontId="6" fillId="0" borderId="16" xfId="0" applyNumberFormat="1" applyFont="1" applyFill="1" applyBorder="1" applyAlignment="1">
      <alignment wrapText="1"/>
    </xf>
    <xf numFmtId="0" fontId="14" fillId="0" borderId="14"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0" xfId="0" applyFont="1" applyFill="1" applyAlignment="1">
      <alignment horizontal="left" vertical="center" wrapText="1"/>
    </xf>
    <xf numFmtId="49" fontId="6" fillId="0" borderId="15" xfId="0" quotePrefix="1" applyNumberFormat="1" applyFont="1" applyFill="1" applyBorder="1" applyAlignment="1">
      <alignment wrapText="1"/>
    </xf>
    <xf numFmtId="0" fontId="14" fillId="0" borderId="14" xfId="0" applyFont="1" applyFill="1" applyBorder="1" applyAlignment="1">
      <alignment vertical="center" wrapText="1"/>
    </xf>
    <xf numFmtId="0" fontId="20" fillId="0" borderId="15" xfId="1" applyFont="1" applyFill="1" applyBorder="1" applyAlignment="1">
      <alignment vertical="center" wrapText="1"/>
    </xf>
    <xf numFmtId="49" fontId="6" fillId="0" borderId="0" xfId="0" quotePrefix="1" applyNumberFormat="1" applyFont="1" applyFill="1" applyAlignment="1">
      <alignment vertical="center" wrapText="1"/>
    </xf>
    <xf numFmtId="49" fontId="6" fillId="0" borderId="15" xfId="0" applyNumberFormat="1" applyFont="1" applyFill="1" applyBorder="1" applyAlignment="1">
      <alignment vertical="center" wrapText="1"/>
    </xf>
    <xf numFmtId="49" fontId="20" fillId="0" borderId="15" xfId="1" applyNumberFormat="1" applyFont="1" applyFill="1" applyBorder="1" applyAlignment="1">
      <alignment vertical="center" wrapText="1"/>
    </xf>
    <xf numFmtId="0" fontId="6" fillId="0" borderId="15" xfId="1" applyFont="1" applyFill="1" applyBorder="1" applyAlignment="1">
      <alignment vertical="center" wrapText="1"/>
    </xf>
    <xf numFmtId="0" fontId="27" fillId="0" borderId="10" xfId="1" applyFont="1" applyFill="1" applyBorder="1" applyAlignment="1">
      <alignment vertical="center" wrapText="1"/>
    </xf>
    <xf numFmtId="0" fontId="14" fillId="0" borderId="0" xfId="0" applyFont="1" applyFill="1" applyAlignment="1">
      <alignment vertical="center" wrapText="1"/>
    </xf>
    <xf numFmtId="0" fontId="20" fillId="0" borderId="0" xfId="1" applyFont="1" applyFill="1" applyAlignment="1">
      <alignment vertical="center" wrapText="1"/>
    </xf>
    <xf numFmtId="0" fontId="28" fillId="0" borderId="8" xfId="1" applyFont="1" applyFill="1" applyBorder="1" applyAlignment="1">
      <alignment vertical="center" wrapText="1"/>
    </xf>
    <xf numFmtId="0" fontId="29" fillId="0" borderId="8" xfId="1" applyFont="1" applyFill="1" applyBorder="1" applyAlignment="1">
      <alignment vertical="center" wrapText="1"/>
    </xf>
    <xf numFmtId="0" fontId="30" fillId="0" borderId="8" xfId="1" applyFont="1" applyFill="1" applyBorder="1" applyAlignment="1">
      <alignment vertical="center" wrapText="1"/>
    </xf>
    <xf numFmtId="0" fontId="19" fillId="0" borderId="0" xfId="1" applyFill="1" applyBorder="1" applyAlignment="1">
      <alignment vertical="center" wrapText="1"/>
    </xf>
    <xf numFmtId="0" fontId="22" fillId="0" borderId="0" xfId="0" applyFont="1" applyFill="1" applyAlignment="1">
      <alignment horizontal="center" vertical="center"/>
    </xf>
    <xf numFmtId="0" fontId="20" fillId="0" borderId="10" xfId="1" applyFont="1" applyFill="1" applyBorder="1" applyAlignment="1">
      <alignment vertical="center" wrapText="1"/>
    </xf>
    <xf numFmtId="166" fontId="6" fillId="0" borderId="8" xfId="0" applyNumberFormat="1" applyFont="1" applyFill="1" applyBorder="1" applyAlignment="1">
      <alignment horizontal="center" vertical="center" wrapText="1"/>
    </xf>
    <xf numFmtId="164"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0" xfId="1" applyFont="1" applyFill="1" applyAlignment="1">
      <alignment vertical="center" wrapText="1"/>
    </xf>
    <xf numFmtId="0" fontId="22" fillId="0" borderId="0" xfId="0" applyFont="1" applyFill="1" applyAlignment="1">
      <alignment horizontal="left" vertical="center"/>
    </xf>
    <xf numFmtId="0" fontId="6" fillId="0" borderId="0" xfId="0" applyFont="1" applyFill="1" applyAlignment="1">
      <alignment horizontal="left" vertical="center" wrapText="1"/>
    </xf>
    <xf numFmtId="0" fontId="14" fillId="0" borderId="15" xfId="0" applyFont="1" applyFill="1" applyBorder="1" applyAlignment="1">
      <alignment vertical="center" wrapText="1"/>
    </xf>
    <xf numFmtId="0" fontId="14" fillId="0" borderId="13" xfId="0" applyFont="1" applyFill="1" applyBorder="1" applyAlignment="1">
      <alignment vertical="center" wrapText="1"/>
    </xf>
  </cellXfs>
  <cellStyles count="2">
    <cellStyle name="Hyperlink" xfId="1" xr:uid="{00000000-000B-0000-0000-000008000000}"/>
    <cellStyle name="Normal" xfId="0" builtinId="0"/>
  </cellStyles>
  <dxfs count="825">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499984740745262"/>
      </font>
      <fill>
        <patternFill patternType="solid">
          <bgColor rgb="FFF7F5F5"/>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ill>
        <patternFill patternType="solid">
          <bgColor rgb="FFD4E09B"/>
        </patternFill>
      </fill>
    </dxf>
    <dxf>
      <fill>
        <patternFill patternType="solid">
          <bgColor rgb="FFF19C79"/>
        </patternFill>
      </fill>
    </dxf>
    <dxf>
      <fill>
        <patternFill patternType="solid">
          <bgColor rgb="FFE3DEDA"/>
        </patternFill>
      </fill>
    </dxf>
    <dxf>
      <fill>
        <patternFill patternType="solid">
          <bgColor rgb="FFB6E2DD"/>
        </patternFill>
      </fill>
    </dxf>
    <dxf>
      <fill>
        <patternFill patternType="solid">
          <bgColor rgb="FFFBDF9D"/>
        </patternFill>
      </fill>
    </dxf>
    <dxf>
      <fill>
        <patternFill patternType="solid">
          <bgColor rgb="FFDAD9FE"/>
        </patternFill>
      </fill>
    </dxf>
    <dxf>
      <fill>
        <patternFill patternType="solid">
          <bgColor rgb="FFD4E09B"/>
        </patternFill>
      </fill>
    </dxf>
    <dxf>
      <fill>
        <patternFill patternType="solid">
          <bgColor rgb="FFF19C79"/>
        </patternFill>
      </fill>
    </dxf>
    <dxf>
      <fill>
        <patternFill patternType="solid">
          <bgColor rgb="FFE3DEDA"/>
        </patternFill>
      </fill>
    </dxf>
    <dxf>
      <fill>
        <patternFill patternType="solid">
          <bgColor rgb="FFB6E2DD"/>
        </patternFill>
      </fill>
    </dxf>
    <dxf>
      <fill>
        <patternFill patternType="solid">
          <bgColor rgb="FFFBDF9D"/>
        </patternFill>
      </fill>
    </dxf>
    <dxf>
      <fill>
        <patternFill patternType="solid">
          <bgColor rgb="FFDAD9FE"/>
        </patternFill>
      </fill>
    </dxf>
    <dxf>
      <fill>
        <patternFill patternType="solid">
          <bgColor rgb="FFD4E09B"/>
        </patternFill>
      </fill>
    </dxf>
    <dxf>
      <fill>
        <patternFill patternType="solid">
          <bgColor rgb="FFF19C79"/>
        </patternFill>
      </fill>
    </dxf>
    <dxf>
      <fill>
        <patternFill patternType="solid">
          <bgColor rgb="FFE3DEDA"/>
        </patternFill>
      </fill>
    </dxf>
    <dxf>
      <fill>
        <patternFill patternType="solid">
          <bgColor rgb="FFB6E2DD"/>
        </patternFill>
      </fill>
    </dxf>
    <dxf>
      <fill>
        <patternFill patternType="solid">
          <bgColor rgb="FFFBDF9D"/>
        </patternFill>
      </fill>
    </dxf>
    <dxf>
      <fill>
        <patternFill patternType="solid">
          <bgColor rgb="FFDAD9FE"/>
        </patternFill>
      </fill>
    </dxf>
    <dxf>
      <fill>
        <patternFill patternType="solid">
          <bgColor rgb="FFD4E09B"/>
        </patternFill>
      </fill>
    </dxf>
    <dxf>
      <fill>
        <patternFill patternType="solid">
          <bgColor rgb="FFF19C79"/>
        </patternFill>
      </fill>
    </dxf>
    <dxf>
      <fill>
        <patternFill patternType="solid">
          <bgColor rgb="FFE3DEDA"/>
        </patternFill>
      </fill>
    </dxf>
    <dxf>
      <fill>
        <patternFill patternType="solid">
          <bgColor rgb="FFB6E2DD"/>
        </patternFill>
      </fill>
    </dxf>
    <dxf>
      <fill>
        <patternFill patternType="solid">
          <bgColor rgb="FFFBDF9D"/>
        </patternFill>
      </fill>
    </dxf>
    <dxf>
      <fill>
        <patternFill patternType="solid">
          <bgColor rgb="FFDAD9FE"/>
        </patternFill>
      </fill>
    </dxf>
    <dxf>
      <fill>
        <patternFill patternType="solid">
          <bgColor rgb="FFD4E09B"/>
        </patternFill>
      </fill>
    </dxf>
    <dxf>
      <fill>
        <patternFill patternType="solid">
          <bgColor rgb="FFF19C79"/>
        </patternFill>
      </fill>
    </dxf>
    <dxf>
      <fill>
        <patternFill patternType="solid">
          <bgColor rgb="FFE3DEDA"/>
        </patternFill>
      </fill>
    </dxf>
    <dxf>
      <fill>
        <patternFill patternType="solid">
          <bgColor rgb="FFB6E2DD"/>
        </patternFill>
      </fill>
    </dxf>
    <dxf>
      <fill>
        <patternFill patternType="solid">
          <bgColor rgb="FFFBDF9D"/>
        </patternFill>
      </fill>
    </dxf>
    <dxf>
      <fill>
        <patternFill patternType="solid">
          <bgColor rgb="FFDAD9FE"/>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ill>
        <patternFill patternType="solid">
          <bgColor rgb="FFD4E09B"/>
        </patternFill>
      </fill>
    </dxf>
    <dxf>
      <fill>
        <patternFill patternType="solid">
          <bgColor rgb="FFF19C79"/>
        </patternFill>
      </fill>
    </dxf>
    <dxf>
      <fill>
        <patternFill patternType="solid">
          <bgColor rgb="FFB6E2DD"/>
        </patternFill>
      </fill>
    </dxf>
    <dxf>
      <fill>
        <patternFill patternType="solid">
          <bgColor rgb="FFFBDF9D"/>
        </patternFill>
      </fill>
    </dxf>
    <dxf>
      <fill>
        <patternFill patternType="solid">
          <bgColor rgb="FFDAD9FE"/>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ill>
        <patternFill patternType="solid">
          <bgColor rgb="FFD4E09B"/>
        </patternFill>
      </fill>
    </dxf>
    <dxf>
      <fill>
        <patternFill patternType="solid">
          <bgColor rgb="FFF19C79"/>
        </patternFill>
      </fill>
    </dxf>
    <dxf>
      <fill>
        <patternFill patternType="solid">
          <bgColor rgb="FFE3DEDA"/>
        </patternFill>
      </fill>
    </dxf>
    <dxf>
      <fill>
        <patternFill patternType="solid">
          <bgColor rgb="FFB6E2DD"/>
        </patternFill>
      </fill>
    </dxf>
    <dxf>
      <fill>
        <patternFill patternType="solid">
          <bgColor rgb="FFFBDF9D"/>
        </patternFill>
      </fill>
    </dxf>
    <dxf>
      <fill>
        <patternFill patternType="solid">
          <bgColor rgb="FFDAD9FE"/>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font>
      <fill>
        <patternFill patternType="solid">
          <bgColor rgb="FFD4E09B"/>
        </patternFill>
      </fill>
    </dxf>
    <dxf>
      <font>
        <color theme="1"/>
      </font>
      <fill>
        <patternFill patternType="solid">
          <bgColor rgb="FFB6E2DD"/>
        </patternFill>
      </fill>
    </dxf>
    <dxf>
      <font>
        <color theme="1"/>
      </font>
      <fill>
        <patternFill patternType="solid">
          <bgColor rgb="FFF19C79"/>
        </patternFill>
      </fill>
    </dxf>
    <dxf>
      <font>
        <color theme="1"/>
      </font>
      <fill>
        <patternFill patternType="solid">
          <bgColor rgb="FFDAD9FE"/>
        </patternFill>
      </fill>
    </dxf>
    <dxf>
      <font>
        <color theme="1"/>
      </font>
      <fill>
        <patternFill patternType="solid">
          <bgColor rgb="FFD4E09B"/>
        </patternFill>
      </fill>
    </dxf>
    <dxf>
      <font>
        <color theme="1"/>
      </font>
      <fill>
        <patternFill patternType="solid">
          <bgColor rgb="FFB6E2DD"/>
        </patternFill>
      </fill>
    </dxf>
    <dxf>
      <font>
        <color theme="1"/>
      </font>
      <fill>
        <patternFill patternType="solid">
          <bgColor rgb="FFF19C79"/>
        </patternFill>
      </fill>
    </dxf>
    <dxf>
      <font>
        <color theme="1"/>
      </font>
      <fill>
        <patternFill patternType="solid">
          <bgColor rgb="FFDAD9FE"/>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0"/>
      </font>
      <fill>
        <patternFill patternType="solid">
          <bgColor rgb="FFF7F5F5"/>
        </patternFill>
      </fill>
      <border>
        <left style="thin">
          <color rgb="FFD9D9D9"/>
        </left>
        <right style="thin">
          <color rgb="FFD9D9D9"/>
        </right>
        <top style="thin">
          <color rgb="FFD9D9D9"/>
        </top>
        <bottom style="thin">
          <color rgb="FFD9D9D9"/>
        </bottom>
      </border>
    </dxf>
    <dxf>
      <font>
        <color theme="0"/>
      </font>
      <fill>
        <patternFill patternType="solid">
          <bgColor rgb="FFD4E09B"/>
        </patternFill>
      </fill>
      <border>
        <left style="thin">
          <color rgb="FFD9D9D9"/>
        </left>
        <right style="thin">
          <color rgb="FFD9D9D9"/>
        </right>
        <top style="thin">
          <color rgb="FFD9D9D9"/>
        </top>
        <bottom style="thin">
          <color rgb="FFD9D9D9"/>
        </bottom>
      </border>
    </dxf>
    <dxf>
      <font>
        <color theme="0"/>
      </font>
      <fill>
        <patternFill patternType="solid">
          <bgColor rgb="FFFBDF9D"/>
        </patternFill>
      </fill>
      <border>
        <left style="thin">
          <color rgb="FFD9D9D9"/>
        </left>
        <right style="thin">
          <color rgb="FFD9D9D9"/>
        </right>
        <top style="thin">
          <color rgb="FFD9D9D9"/>
        </top>
        <bottom style="thin">
          <color rgb="FFD9D9D9"/>
        </bottom>
      </border>
    </dxf>
    <dxf>
      <font>
        <color theme="0"/>
      </font>
      <fill>
        <patternFill patternType="solid">
          <bgColor rgb="FFB6E2DD"/>
        </patternFill>
      </fill>
      <border>
        <left style="thin">
          <color rgb="FFD9D9D9"/>
        </left>
        <right style="thin">
          <color rgb="FFD9D9D9"/>
        </right>
        <top style="thin">
          <color rgb="FFD9D9D9"/>
        </top>
        <bottom style="thin">
          <color rgb="FFD9D9D9"/>
        </bottom>
      </border>
    </dxf>
    <dxf>
      <font>
        <color theme="0"/>
      </font>
      <fill>
        <patternFill patternType="solid">
          <bgColor rgb="FFF19C79"/>
        </patternFill>
      </fill>
      <border>
        <left style="thin">
          <color rgb="FFD9D9D9"/>
        </left>
        <right style="thin">
          <color rgb="FFD9D9D9"/>
        </right>
        <top style="thin">
          <color rgb="FFD9D9D9"/>
        </top>
        <bottom style="thin">
          <color rgb="FFD9D9D9"/>
        </bottom>
      </border>
    </dxf>
    <dxf>
      <font>
        <color theme="0"/>
      </font>
      <fill>
        <patternFill patternType="solid">
          <bgColor rgb="FFDAD9FE"/>
        </patternFill>
      </fill>
      <border>
        <left style="thin">
          <color rgb="FFD9D9D9"/>
        </left>
        <right style="thin">
          <color rgb="FFD9D9D9"/>
        </right>
        <top style="thin">
          <color rgb="FFD9D9D9"/>
        </top>
        <bottom style="thin">
          <color rgb="FFD9D9D9"/>
        </bottom>
      </border>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b/>
        <i val="0"/>
        <color rgb="FF879E4D"/>
      </font>
    </dxf>
    <dxf>
      <font>
        <b/>
        <i val="0"/>
        <color rgb="FFF19C79"/>
      </font>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
      <font>
        <color theme="1" tint="0.34998626667073579"/>
      </font>
      <fill>
        <patternFill patternType="solid">
          <bgColor rgb="FFE3DEDA"/>
        </patternFill>
      </fill>
    </dxf>
  </dxfs>
  <tableStyles count="0" defaultTableStyle="TableStyleMedium2" defaultPivotStyle="PivotStyleLight16"/>
  <colors>
    <mruColors>
      <color rgb="FFDFF0AD"/>
      <color rgb="FFE1D5CA"/>
      <color rgb="FFF19C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eet.google.com/wfp-atyi-rqq" TargetMode="External"/><Relationship Id="rId299" Type="http://schemas.openxmlformats.org/officeDocument/2006/relationships/hyperlink" Target="https://teams.microsoft.com/l/meetup-join/19%3ameeting_NmNkNTRiZDctM2Q0ZS00ZDcxLWEzZDctYmJhNjZmMTRlZmI4%40thread.v2/0?context=%7b%22Tid%22%3a%22823ace76-f3f5-4396-9a3b-bb149c779beb%22%2c%22Oid%22%3a%226316b340-0d0c-4eaa-8aa6-fccc262ca404%22%7d" TargetMode="External"/><Relationship Id="rId21" Type="http://schemas.openxmlformats.org/officeDocument/2006/relationships/hyperlink" Target="https://capacitacion.moodle.serviciocivil.gov.co/curso/2169" TargetMode="External"/><Relationship Id="rId63" Type="http://schemas.openxmlformats.org/officeDocument/2006/relationships/hyperlink" Target="https://meet.google.com/nns-xase-tbf?authuser=0" TargetMode="External"/><Relationship Id="rId159" Type="http://schemas.openxmlformats.org/officeDocument/2006/relationships/hyperlink" Target="http://meet.google.com/ffk-ndwy-jio" TargetMode="External"/><Relationship Id="rId324" Type="http://schemas.openxmlformats.org/officeDocument/2006/relationships/hyperlink" Target="https://teams.microsoft.com/l/meetup-join/19%3ameeting_Y2I0YzFhN2QtZWIyOS00NWYyLWE1ODQtODgxZTUxN2NkM2Ux%40thread.v2/0?context=%7b%22Tid%22%3a%22823ace76-f3f5-4396-9a3b-bb149c779beb%22%2c%22Oid%22%3a%22c978294e-0921-497b-b65f-480f6c13385c%22%7d" TargetMode="External"/><Relationship Id="rId170" Type="http://schemas.openxmlformats.org/officeDocument/2006/relationships/hyperlink" Target="http://meet.google.com/gtu-uouj-khd" TargetMode="External"/><Relationship Id="rId226" Type="http://schemas.openxmlformats.org/officeDocument/2006/relationships/hyperlink" Target="mailto:lbarreto@sdp.gov.co" TargetMode="External"/><Relationship Id="rId268" Type="http://schemas.openxmlformats.org/officeDocument/2006/relationships/hyperlink" Target="https://teams.microsoft.com/l/meetup-join/19%3ameeting_NmZkM2YzMDYtOTQ4NS00M2NkLTlhNzYtYTZmN2UyMzlmYjMz%40thread.v2/0?context=%7b%22Tid%22%3a%22823ace76-f3f5-4396-9a3b-bb149c779beb%22%2c%22Oid%22%3a%226316b340-0d0c-4eaa-8aa6-fccc262ca404%22%7d" TargetMode="External"/><Relationship Id="rId32" Type="http://schemas.openxmlformats.org/officeDocument/2006/relationships/hyperlink" Target="https://meet.google.com/usk-fybt-jqw" TargetMode="External"/><Relationship Id="rId74" Type="http://schemas.openxmlformats.org/officeDocument/2006/relationships/hyperlink" Target="https://meet.google.com/auy-iaof-dwa" TargetMode="External"/><Relationship Id="rId128" Type="http://schemas.openxmlformats.org/officeDocument/2006/relationships/hyperlink" Target="https://meet.google.com/mhk-hfvu-vbu?hs=224" TargetMode="External"/><Relationship Id="rId335" Type="http://schemas.openxmlformats.org/officeDocument/2006/relationships/hyperlink" Target="https://teams.microsoft.com/l/meetup-join/19%3ameeting_ZjFhMWY3YTEtNWUzMi00MTQ3LWIyMDItZWFkYTI1YzNkNGM2%40thread.v2/0?context=%7b%22Tid%22%3a%22823ace76-f3f5-4396-9a3b-bb149c779beb%22%2c%22Oid%22%3a%226316b340-0d0c-4eaa-8aa6-fccc262ca404%22%7d" TargetMode="External"/><Relationship Id="rId5" Type="http://schemas.openxmlformats.org/officeDocument/2006/relationships/hyperlink" Target="http://meet.google.com/zrb-mzrw-pem" TargetMode="External"/><Relationship Id="rId181" Type="http://schemas.openxmlformats.org/officeDocument/2006/relationships/hyperlink" Target="https://teams.microsoft.com/l/meetup-join/19%3ameeting_MjdmMjVlYzQtYzRiNy00MGY4LThmNzMtYjRhNTAxNzFkZjRi%40thread.v2/0?context=%7b%22Tid%22%3a%22823ace76-f3f5-4396-9a3b-bb149c779beb%22%2c%22Oid%22%3a%2220108af8-ac3e-446c-894a-f8407314940d%22%7d" TargetMode="External"/><Relationship Id="rId237" Type="http://schemas.openxmlformats.org/officeDocument/2006/relationships/hyperlink" Target="mailto:lbarreto@sdp.gov.co" TargetMode="External"/><Relationship Id="rId279" Type="http://schemas.openxmlformats.org/officeDocument/2006/relationships/hyperlink" Target="https://teams.microsoft.com/l/meetup-join/19%3ameeting_YzZhOWI5ODktYmE5ZC00MTg1LTk2NGQtN2UwZmNjYzQzYTE0%40thread.v2/0?context=%7b%22Tid%22%3a%22823ace76-f3f5-4396-9a3b-bb149c779beb%22%2c%22Oid%22%3a%22a4f10e7d-23f1-4bbb-9952-41c273f603a2%22%7d" TargetMode="External"/><Relationship Id="rId43" Type="http://schemas.openxmlformats.org/officeDocument/2006/relationships/hyperlink" Target="https://meet.google.com/hbz-vdfq-cka" TargetMode="External"/><Relationship Id="rId139" Type="http://schemas.openxmlformats.org/officeDocument/2006/relationships/hyperlink" Target="http://meet.google.com/puu-xxep-ndo" TargetMode="External"/><Relationship Id="rId290" Type="http://schemas.openxmlformats.org/officeDocument/2006/relationships/hyperlink" Target="https://teams.microsoft.com/l/meetup-join/19%3ameeting_MGYyMjk5NmEtODNiMS00NTU3LWJkZmItM2Q1NjU3ZDUwM2Vh%40thread.v2/0?context=%7b%22Tid%22%3a%2262014016-9db4-44c2-bf33-e4366b82fdaa%22%2c%22Oid%22%3a%22744b8b48-722f-42eb-b887-f6e3122ee069%22%7d" TargetMode="External"/><Relationship Id="rId304" Type="http://schemas.openxmlformats.org/officeDocument/2006/relationships/hyperlink" Target="https://teams.microsoft.com/l/meetup-join/19%3ameeting_NDAyODA3YzUtMDY1NS00ZTI5LTllMjctMTA3NjJkZjg4MmE3%40thread.v2/0?context=%7b%22Tid%22%3a%2226ae6adf-61be-443f-8dc4-6531b61a9a38%22%2c%22Oid%22%3a%223dbfefdc-860a-4a1e-85df-dccdee2a62b6%22%7d" TargetMode="External"/><Relationship Id="rId346" Type="http://schemas.openxmlformats.org/officeDocument/2006/relationships/hyperlink" Target="https://teams.microsoft.com/l/meetup-join/19%3ameeting_NWI2ZTc3YmItM2Q3Mi00MDM0LWI2MWMtZWJkYTRjOWNjZmRj%40thread.v2/0?context=%7b%22Tid%22%3a%22823ace76-f3f5-4396-9a3b-bb149c779beb%22%2c%22Oid%22%3a%226316b340-0d0c-4eaa-8aa6-fccc262ca404%22%7d" TargetMode="External"/><Relationship Id="rId85" Type="http://schemas.openxmlformats.org/officeDocument/2006/relationships/hyperlink" Target="https://meet.google.com/ypn-rvvz-hpm" TargetMode="External"/><Relationship Id="rId150" Type="http://schemas.openxmlformats.org/officeDocument/2006/relationships/hyperlink" Target="https://meet.google.com/jyc-wxht-ofc" TargetMode="External"/><Relationship Id="rId192" Type="http://schemas.openxmlformats.org/officeDocument/2006/relationships/hyperlink" Target="https://meet.google.com/dzg-uhyg-kyr" TargetMode="External"/><Relationship Id="rId206" Type="http://schemas.openxmlformats.org/officeDocument/2006/relationships/hyperlink" Target="https://teams.microsoft.com/l/meetup-join/19%3ameeting_MmI0NDE2ODYtMDY4NS00YWQ0LThmYTctNDdhNmM5OGJiYzA3%40thread.v2/0?context=%7b%22Tid%22%3a%22823ace76-f3f5-4396-9a3b-bb149c779beb%22%2c%22Oid%22%3a%226316b340-0d0c-4eaa-8aa6-fccc262ca404%22%7d" TargetMode="External"/><Relationship Id="rId248" Type="http://schemas.openxmlformats.org/officeDocument/2006/relationships/hyperlink" Target="mailto:lbarreto@sdp.gov.co" TargetMode="External"/><Relationship Id="rId12" Type="http://schemas.openxmlformats.org/officeDocument/2006/relationships/hyperlink" Target="https://meet.google.com/dtu-mwvz-nyk" TargetMode="External"/><Relationship Id="rId108" Type="http://schemas.openxmlformats.org/officeDocument/2006/relationships/hyperlink" Target="http://meet.google.com/mev-ebex-iex" TargetMode="External"/><Relationship Id="rId315" Type="http://schemas.openxmlformats.org/officeDocument/2006/relationships/hyperlink" Target="https://teams.microsoft.com/dl/launcher/launcher.html?url=%2F_%23%2Fl%2Fmeetup-join%2F19%3Ameeting_N2MwZjcyN2QtYTA2Yy00NGM3LWE2MGMtN2FhYWRmMDY5M2E3%40thread.v2%2F0%3Fcontext%3D%257b%2522Tid%2522%253a%2522823ace76-f3f5-4396-9a3b-bb149c779beb%2522%252c%2522Oid%2522%253a%252221574392-447d-4244-bb92-9036280ce186%2522%257d%26anon%3Dtrue&amp;type=meetup-join&amp;deeplinkId=19edb0a5-1e7e-4fa3-91eb-c606d0f6cb0a&amp;directDl=true&amp;msLaunch=true&amp;enableMobilePage=true&amp;suppressPrompt=true" TargetMode="External"/><Relationship Id="rId357" Type="http://schemas.openxmlformats.org/officeDocument/2006/relationships/hyperlink" Target="https://teams.microsoft.com/l/meetup-join/19%3ameeting_Y2EzYzg2MmQtNWRhZi00NDdlLTk2MWQtMjgwYWJmMjAyYjNk%40thread.v2/0?context=%7b%22Tid%22%3a%22823ace76-f3f5-4396-9a3b-bb149c779beb%22%2c%22Oid%22%3a%22e92b53a8-9c20-4f53-9f93-0a652ba60c58%22%7d" TargetMode="External"/><Relationship Id="rId54" Type="http://schemas.openxmlformats.org/officeDocument/2006/relationships/hyperlink" Target="http://meet.google.com/amw-gtvj-zkd" TargetMode="External"/><Relationship Id="rId96" Type="http://schemas.openxmlformats.org/officeDocument/2006/relationships/hyperlink" Target="https://meet.google.com/oda-kism-azq" TargetMode="External"/><Relationship Id="rId161" Type="http://schemas.openxmlformats.org/officeDocument/2006/relationships/hyperlink" Target="https://teams.microsoft.com/l/meetup-join/19%3ameeting_OWQzMjk5NDEtNDA5MC00MDIyLTk4ZmUtY2EzYjFkZTUyYzJh%40thread.v2/0?context=%7b%22Tid%22%3a%2214de155f-e192-44da-994d-1913d8658372%22%2c%22Oid%22%3a%2204a273b8-28ba-4099-9b31-ca5e8d396a0f%22%7d" TargetMode="External"/><Relationship Id="rId217" Type="http://schemas.openxmlformats.org/officeDocument/2006/relationships/hyperlink" Target="https://teams.microsoft.com/dl/launcher/launcher.html?url=%2F_%23%2Fl%2Fmeetup-join%2F19%3Ameeting_NjI3MjY1MDMtOTFmOS00NGMxLThiNTAtZTQwNDY0OWViNTlm%40thread.v2%2F0%3Fcontext%3D%257b%2522Tid%2522%253a%2522823ace76-f3f5-4396-9a3b-bb149c779beb%2522%252c%2522Oid%2522%253a%2522ce087ce0-db4d-4178-b6cd-b3acc65a84d1%2522%257d%26anon%3Dtrue&amp;type=meetup-join&amp;deeplinkId=fcc57fe2-8418-48f9-9222-30fb8b6e797d&amp;directDl=true&amp;msLaunch=true&amp;enableMobilePage=true&amp;suppressPrompt=true" TargetMode="External"/><Relationship Id="rId259" Type="http://schemas.openxmlformats.org/officeDocument/2006/relationships/hyperlink" Target="https://teams.microsoft.com/l/meetup-join/19%3ameeting_MDEyZmFmMzUtMGJlOS00MGU5LWIzZWQtYTZmNThkM2I3YmUx%40thread.v2/0?context=%7b%22Tid%22%3a%22823ace76-f3f5-4396-9a3b-bb149c779beb%22%2c%22Oid%22%3a%220e217661-3137-4ada-8ce3-b76148d5191a%22%7d" TargetMode="External"/><Relationship Id="rId23" Type="http://schemas.openxmlformats.org/officeDocument/2006/relationships/hyperlink" Target="http://meet.google.com/vyh-mvwx-shi" TargetMode="External"/><Relationship Id="rId119" Type="http://schemas.openxmlformats.org/officeDocument/2006/relationships/hyperlink" Target="https://tel.meet/oey-norq-uda?pin=4967612829454" TargetMode="External"/><Relationship Id="rId270" Type="http://schemas.openxmlformats.org/officeDocument/2006/relationships/hyperlink" Target="https://teams.microsoft.com/dl/launcher/launcher.html?url=%2F_%23%2Fl%2Fmeetup-join%2F19%3Ameeting_OTdiODY4OWUtYzAxZC00YTc5LTliN2ItM2EyMDQ5OGNjMWVm%40thread.v2%2F0%3Fcontext%3D%257b%2522Tid%2522%253a%2522823ace76-f3f5-4396-9a3b-bb149c779beb%2522%252c%2522Oid%2522%253a%2522a6e1cf2f-6898-4d40-a155-561d032d1282%2522%257d%26anon%3Dtrue&amp;type=meetup-join&amp;deeplinkId=911b05e6-8327-4df3-9590-61c320701be8&amp;directDl=true&amp;msLaunch=true&amp;enableMobilePage=true&amp;suppressPrompt=true" TargetMode="External"/><Relationship Id="rId326" Type="http://schemas.openxmlformats.org/officeDocument/2006/relationships/hyperlink" Target="https://teams.microsoft.com/l/meetup-join/19%3ameeting_NTRiMTQ5ZDYtZDcwZS00YjE5LWE1MzktMWZjNTgxMjk0OGI1%40thread.v2/0?context=%7b%22Tid%22%3a%22823ace76-f3f5-4396-9a3b-bb149c779beb%22%2c%22Oid%22%3a%222790435e-fb56-451e-9e25-dd3ea87ffa3e%22%7d" TargetMode="External"/><Relationship Id="rId65" Type="http://schemas.openxmlformats.org/officeDocument/2006/relationships/hyperlink" Target="https://meet.google.com/xeq-eiwq-aaf" TargetMode="External"/><Relationship Id="rId130" Type="http://schemas.openxmlformats.org/officeDocument/2006/relationships/hyperlink" Target="http://meet.google.com/uuj-qqse-fce" TargetMode="External"/><Relationship Id="rId172" Type="http://schemas.openxmlformats.org/officeDocument/2006/relationships/hyperlink" Target="https://meet.google.com/jti-wabi-odb" TargetMode="External"/><Relationship Id="rId228" Type="http://schemas.openxmlformats.org/officeDocument/2006/relationships/hyperlink" Target="mailto:lbarreto@sdp.gov.co" TargetMode="External"/><Relationship Id="rId281" Type="http://schemas.openxmlformats.org/officeDocument/2006/relationships/hyperlink" Target="https://meet.google.com/eva-ikjn-kwc?authuser=1&amp;pli=1" TargetMode="External"/><Relationship Id="rId337" Type="http://schemas.openxmlformats.org/officeDocument/2006/relationships/hyperlink" Target="https://teams.microsoft.com/l/meetup-join/19%3ameeting_NjljNDE4NjgtZjFmYS00ZGRlLWE2MDgtYjU1NDY4N2UxYjk5%40thread.v2/0?context=%7b%22Tid%22%3a%22823ace76-f3f5-4396-9a3b-bb149c779beb%22%2c%22Oid%22%3a%226316b340-0d0c-4eaa-8aa6-fccc262ca404%22%7d" TargetMode="External"/><Relationship Id="rId34" Type="http://schemas.openxmlformats.org/officeDocument/2006/relationships/hyperlink" Target="https://meet.google.com/jay-odjm-uib" TargetMode="External"/><Relationship Id="rId76" Type="http://schemas.openxmlformats.org/officeDocument/2006/relationships/hyperlink" Target="https://teams.microsoft.com/l/meetup-join/19%3ameeting_NmNjOWZiM2UtMDU4ZC00ZmNiLWJiY2YtZGY2NDg2MzU0Nzgy%40thread.v2/0?context=%7b%22Tid%22%3a%2214de155f-e192-44da-994d" TargetMode="External"/><Relationship Id="rId141" Type="http://schemas.openxmlformats.org/officeDocument/2006/relationships/hyperlink" Target="https://meet.google.com/anu-hmwh-jbx?hs=224" TargetMode="External"/><Relationship Id="rId7" Type="http://schemas.openxmlformats.org/officeDocument/2006/relationships/hyperlink" Target="https://meet.google.com/iih-ubgq-feb" TargetMode="External"/><Relationship Id="rId183" Type="http://schemas.openxmlformats.org/officeDocument/2006/relationships/hyperlink" Target="https://teams.microsoft.com/l/meetup-join/19%3ameeting_NTU4Yjg3MGMtMjhjOS00N2RjLTk3YWItNTdhZmQzOWNhODFl%40thread.v2/0?context=%7b%22Tid%22%3a%22823ace76-f3f5-4396-9a3b-bb149c779beb%22%2c%22Oid%22%3a%226316b340-0d0c-4eaa-8aa6-fccc262ca404%22%7d" TargetMode="External"/><Relationship Id="rId239" Type="http://schemas.openxmlformats.org/officeDocument/2006/relationships/hyperlink" Target="mailto:lbarreto@sdp.gov.co" TargetMode="External"/><Relationship Id="rId250" Type="http://schemas.openxmlformats.org/officeDocument/2006/relationships/hyperlink" Target="mailto:lbarreto@sdp.gov.co" TargetMode="External"/><Relationship Id="rId292" Type="http://schemas.openxmlformats.org/officeDocument/2006/relationships/hyperlink" Target="https://teams.microsoft.com/dl/launcher/launcher.html?url=%2F_%23%2Fl%2Fmeetup-join%2F19%3Ameeting_ZGQzN2VmNDEtNWIwZC00ZmMzLWJlMDQtZGM4YmExMTRkOWFj%40thread.v2%2F0%3Fcontext%3D%257b%2522Tid%2522%253a%2522fc531237-43c6-44de-a1e8-d3bf6dc436e1%2522%252c%2522Oid%2522%253a%2522cad5d646-046d-49df-a496-74085da18f67%2522%257d%26anon%3Dtrue&amp;type=meetup-" TargetMode="External"/><Relationship Id="rId306" Type="http://schemas.openxmlformats.org/officeDocument/2006/relationships/hyperlink" Target="https://tel.meet/hmm-bise-yjk?pin=9502828724851" TargetMode="External"/><Relationship Id="rId45" Type="http://schemas.openxmlformats.org/officeDocument/2006/relationships/hyperlink" Target="https://meet.google.com/foy-xibp-mqj" TargetMode="External"/><Relationship Id="rId87" Type="http://schemas.openxmlformats.org/officeDocument/2006/relationships/hyperlink" Target="https://meet.google.com/kse-uupn-bcu" TargetMode="External"/><Relationship Id="rId110" Type="http://schemas.openxmlformats.org/officeDocument/2006/relationships/hyperlink" Target="http://meet.google.com/jyg-ddyn-eko" TargetMode="External"/><Relationship Id="rId348" Type="http://schemas.openxmlformats.org/officeDocument/2006/relationships/hyperlink" Target="https://teams.microsoft.com/l/meetup-join/19%3ameeting_ZTlmYTZiYmMtMTk0OC00ZjIxLWIyZjctY2UzMzkzYjY5MWI1%40thread.v2/0?context=%7b%22Tid%22%3a%22823ace76-f3f5-4396-9a3b-bb149c779beb%22%2c%22Oid%22%3a%22a9e32605-91de-4c2e-a7f5-484eb88b018b%22%7d" TargetMode="External"/><Relationship Id="rId152" Type="http://schemas.openxmlformats.org/officeDocument/2006/relationships/hyperlink" Target="https://meet.google.com/cdh-vrhx-poi" TargetMode="External"/><Relationship Id="rId194" Type="http://schemas.openxmlformats.org/officeDocument/2006/relationships/hyperlink" Target="mailto:Marcus.hooker@gobiernobogota.gov.co" TargetMode="External"/><Relationship Id="rId208" Type="http://schemas.openxmlformats.org/officeDocument/2006/relationships/hyperlink" Target="https://teams.microsoft.com/l/meetup-join/19%3ameeting_MWNhZGEzZmQtMTlmYy00MTlmLTgyNWQtN2M3ODY5ZjE0MWI2%40thread.v2/0?context=%7b%22Tid%22%3a%22823ace76-f3f5-4396-9a3b-bb149c779beb%22%2c%22Oid%22%3a%226316b340-0d0c-4eaa-8aa6-fccc262ca404%22%7d" TargetMode="External"/><Relationship Id="rId261" Type="http://schemas.openxmlformats.org/officeDocument/2006/relationships/hyperlink" Target="https://teams.microsoft.com/l/meetup-join/19%3ameeting_NzFkY2UwOTUtNmI4My00NGJkLWI5NzMtMGI2N2NlNWRiZDdi%40thread.v2/0?context=%7b%22Tid%22%3a%22823ace76-f3f5-4396-9a3b-bb149c779beb%22%2c%22Oid%22%3a%226316b340-0d0c-4eaa-8aa6-fccc262ca404%22%7d" TargetMode="External"/><Relationship Id="rId14" Type="http://schemas.openxmlformats.org/officeDocument/2006/relationships/hyperlink" Target="https://teams.microsoft.com/l/meetup-join/19%3ameeting_NjExZmRiNWYtMjVmZS00NzBmLWI5NWMtNThkYTkyNGNmNWJk%40thread.v2/0?context=%7b%22Tid%22%3a%220f1156f1-406d-4123-99f0-a976b835b9b6%22%2c%22Oid%22%3a%224050f918-a0d6-4762-98be-b8386a732c2e%22%7d" TargetMode="External"/><Relationship Id="rId56" Type="http://schemas.openxmlformats.org/officeDocument/2006/relationships/hyperlink" Target="https://meet.google.com/agx-vnyu-dgc" TargetMode="External"/><Relationship Id="rId317" Type="http://schemas.openxmlformats.org/officeDocument/2006/relationships/hyperlink" Target="https://teams.microsoft.com/l/meetup-join/19%3ameeting_ZTE3ODc1MmEtYTY5YS00YjYwLTkwYzYtYmUxMTA2NDA1NjMy%40thread.v2/0?context=%7b%22Tid%22%3a%22823ace76-f3f5-4396-9a3b-bb149c779beb%22%2c%22Oid%22%3a%226316b340-0d0c-4eaa-8aa6-fccc262ca404%22%7d" TargetMode="External"/><Relationship Id="rId359" Type="http://schemas.openxmlformats.org/officeDocument/2006/relationships/hyperlink" Target="https://teams.microsoft.com/l/meetup-join/19%3ameeting_MzExYTFhYzMtODkxMi00YzUxLTgyMTAtZjAzOTI4MWM5OWI4%40thread.v2/0?context=%7b%22Tid%22%3a%22823ace76-f3f5-4396-9a3b-bb149c779beb%22%2c%22Oid%22%3a%226316b340-0d0c-4eaa-8aa6-fccc262ca404%22%7d" TargetMode="External"/><Relationship Id="rId98" Type="http://schemas.openxmlformats.org/officeDocument/2006/relationships/hyperlink" Target="https://meet.google.com/uyu-nhid-jqg?hs=224" TargetMode="External"/><Relationship Id="rId121" Type="http://schemas.openxmlformats.org/officeDocument/2006/relationships/hyperlink" Target="https://meet.google.com/vvi-ymry-abf?authuser=0" TargetMode="External"/><Relationship Id="rId163" Type="http://schemas.openxmlformats.org/officeDocument/2006/relationships/hyperlink" Target="https://meet.google.com/ijr-yrtw-jbn" TargetMode="External"/><Relationship Id="rId219" Type="http://schemas.openxmlformats.org/officeDocument/2006/relationships/hyperlink" Target="https://teams.microsoft.com/l/meetup-join/19%3ameeting_YWI1ZjY4YzctZjczYS00OGNhLTk0MjktZTBmNGI4MzE2ODVm%40thread.v2/0?context=%7b%22Tid%22%3a%2214de155f-e192-44da-994d-1913d8658372%22%2c%22Oid%22%3a%2283705f00-bba4-430a-a92a-bab54174b9ef%22%7d" TargetMode="External"/><Relationship Id="rId230" Type="http://schemas.openxmlformats.org/officeDocument/2006/relationships/hyperlink" Target="mailto:lbarreto@sdp.gov.co" TargetMode="External"/><Relationship Id="rId25" Type="http://schemas.openxmlformats.org/officeDocument/2006/relationships/hyperlink" Target="https://capacitacion.moodle.serviciocivil.gov.co/curso/2170" TargetMode="External"/><Relationship Id="rId67" Type="http://schemas.openxmlformats.org/officeDocument/2006/relationships/hyperlink" Target="http://meet.google.com/wkp-xznm-wuk" TargetMode="External"/><Relationship Id="rId272" Type="http://schemas.openxmlformats.org/officeDocument/2006/relationships/hyperlink" Target="https://teams.microsoft.com/l/meetup-join/19%3ameeting_ZTU4ZTRkNWEtMGRlNi00NDMxLTg5YWEtZDZjZGUyMGMyODQw%40thread.v2/0?context=%7b%22Tid%22%3a%22823ace76-f3f5-4396-9a3b-bb149c779beb%22%2c%22Oid%22%3a%226316b340-0d0c-4eaa-8aa6-fccc262ca404%22%7d" TargetMode="External"/><Relationship Id="rId328" Type="http://schemas.openxmlformats.org/officeDocument/2006/relationships/hyperlink" Target="https://teams.microsoft.com/l/meetup-join/19%3ameeting_NWI2NTFkODctNzA5Mi00NmRiLWFhNDEtNWI1YTU3MDMwMjA0%40thread.v2/0?context=%7b%22Tid%22%3a%220f1156f1-406d-4123-99f0-a976b835b9b6%22%2c%22Oid%22%3a%225414a45e-1449-4b28-8da1-369ff192446e%22%7d" TargetMode="External"/><Relationship Id="rId88" Type="http://schemas.openxmlformats.org/officeDocument/2006/relationships/hyperlink" Target="http://meet.google.com/gzy-qwdn-sdn" TargetMode="External"/><Relationship Id="rId111" Type="http://schemas.openxmlformats.org/officeDocument/2006/relationships/hyperlink" Target="http://meet.google.com/nsm-epxn-byp" TargetMode="External"/><Relationship Id="rId132" Type="http://schemas.openxmlformats.org/officeDocument/2006/relationships/hyperlink" Target="https://meet.google.com/uhn-iskd-qrw" TargetMode="External"/><Relationship Id="rId153" Type="http://schemas.openxmlformats.org/officeDocument/2006/relationships/hyperlink" Target="http://meet.google.com/obe-ugzj-kgc" TargetMode="External"/><Relationship Id="rId174" Type="http://schemas.openxmlformats.org/officeDocument/2006/relationships/hyperlink" Target="https://teams.microsoft.com/l/meetup-join/19%3ameeting_NTUxNzg2NWMtNmExZS00OTFhLWI4NzQtZDNhMWEyOTYzOWI4%40thread.v2/0?context=%7b%22Tid%22%3a%220f1156f1-406d-4123-99f0-a976b835b9b6%22%2c%22Oid%22%3a%22acdfd3a1-8938-4ca8-85b7-1809dbc8ce08%22%7d" TargetMode="External"/><Relationship Id="rId195" Type="http://schemas.openxmlformats.org/officeDocument/2006/relationships/hyperlink" Target="mailto:rincon@participacionbogota.gov.co" TargetMode="External"/><Relationship Id="rId209" Type="http://schemas.openxmlformats.org/officeDocument/2006/relationships/hyperlink" Target="https://teams.microsoft.com/l/meetup-join/19%3ameeting_ODc2Njk1NGEtZDY5Zi00MmYzLTg4NjUtODIzNmI0OTRlNDc5%40thread.v2/0?context=%7b%22Tid%22%3a%22823ace76-f3f5-4396-9a3b-bb149c779beb%22%2c%22Oid%22%3a%22930ed79c-75e6-4bc9-a7bb-e8f45bbb479c%22%7d" TargetMode="External"/><Relationship Id="rId360" Type="http://schemas.openxmlformats.org/officeDocument/2006/relationships/hyperlink" Target="https://teams.microsoft.com/dl/launcher/launcher.html?url=%2F_%23%2Fl%2Fmeetup-join%2F19%3Ameeting_YmU1MmQ4NWEtNjUwNS00NWQ1LWE0OWUtZTdkZTdjY2Q4Yjgw%40thread.v2%2F0%3Fcontext%3D%257b%2522Tid%2522%253a%2522823ace76-f3f5-4396-9a3b-bb149c779beb%2522%252c%2522Oid%2522%253a%25221358d833-572a-4148-8920-7fca07b8dc00%2522%257d%26anon%3Dtrue&amp;type=meetup-join&amp;deeplinkId=087395cb-7073-4b7a-b51f-c3be07e9b4d0&amp;directDl=true&amp;msLaunch=true&amp;enableMobilePage=true&amp;suppressPrompt=true" TargetMode="External"/><Relationship Id="rId220" Type="http://schemas.openxmlformats.org/officeDocument/2006/relationships/hyperlink" Target="https://teams.microsoft.com/l/meetup-join/19:meeting_M2Y5MmY4MjQtYmFmYi00NWVjLTkwOWUtM2UwMDNiZjAwMmIy@thread.v2/0?context=%7B%22Tid%22:%22823ace76-f3f5-4396-9a3b-bb149c779beb%22,%22Oid%22:%2222767417-92c1-4670-b0c1-d3e248d47a47%22%7D" TargetMode="External"/><Relationship Id="rId241" Type="http://schemas.openxmlformats.org/officeDocument/2006/relationships/hyperlink" Target="mailto:lbarreto@sdp.gov.co" TargetMode="External"/><Relationship Id="rId15" Type="http://schemas.openxmlformats.org/officeDocument/2006/relationships/hyperlink" Target="https://teams.microsoft.com/l/meetup-join/19%3ameeting_OGJjMGIyZjAtM2Q4YS00NzIyLWIyYTktMDQwNDA1MjBlZjBk%40thread.v2/0?context=%7b%22Tid%22%3a%220f1156f1-406d-4123-99f0-a976b835b9b6%22%2c%22Oid%22%3a%224050f918-a0d6-4762-98be-b8386a732c2e%22%7d" TargetMode="External"/><Relationship Id="rId36" Type="http://schemas.openxmlformats.org/officeDocument/2006/relationships/hyperlink" Target="https://meet.google.com/jay-odjm-uib" TargetMode="External"/><Relationship Id="rId57" Type="http://schemas.openxmlformats.org/officeDocument/2006/relationships/hyperlink" Target="https://meet.google.com/wfn-ptud-azs" TargetMode="External"/><Relationship Id="rId262" Type="http://schemas.openxmlformats.org/officeDocument/2006/relationships/hyperlink" Target="https://teams.microsoft.com/l/meetup-join/19%3ameeting_ZDBkMmFkNTctOTljOS00M2I0LWE2ZGMtN2VkYjUzM2NmNWNj%40thread.v2/0?context=%7b%22Tid%22%3a%22823ace76-f3f5-4396-9a3b-bb149c779beb%22%2c%22Oid%22%3a%226316b340-0d0c-4eaa-8aa6-fccc262ca404%22%7d" TargetMode="External"/><Relationship Id="rId283" Type="http://schemas.openxmlformats.org/officeDocument/2006/relationships/hyperlink" Target="https://teams.microsoft.com/dl/launcher/launcher.html?url=%2F_%23%2Fl%2Fmeetup-join%2F19%3Ameeting_ODA2YWM3YmYtY2FjYy00NGM0LWE0MjItODU5ZTcwOWZjNjQ3%40thread.v2%2F0%3Fcontext%3D%257b%2522Tid%2522%253a%2522fc531237-43c6-44de-a1e8-d3bf6dc436e1%2522%252c%2522Oid%2522%253a%2522cad5d646-046d-49df-a496-74085da18f67%2522%257d%26anon%3Dtrue&amp;type=meetup-join&amp;deeplinkId=842caf9b-dcb4-4d6d-ab6f-2d38adf8f1a4&amp;directDl=true&amp;msLaunch=true&amp;enableMobilePage=true&amp;suppressPrompt=true" TargetMode="External"/><Relationship Id="rId318" Type="http://schemas.openxmlformats.org/officeDocument/2006/relationships/hyperlink" Target="https://teams.microsoft.com/dl/launcher/launcher.html?url=%2F_%23%2Fl%2Fmeetup-join%2F19%3Ameeting_YWIzNTExMjUtZGE1NS00NzhjLTk1YjYtNWM1ZGYzNTM4NjRm%40thread.v2%2F0%3Fcontext%3D%257B%2522Tid%2522%253A%2522823ace76-f3f5-4396-9a3b-bb149c779beb%2522%252C%2522Oid%2522%253A%25221e8fa15d-42ee-40e5-a3fa-03e5c7c7d30a%2522%257D%26anon%3Dtrue&amp;type=meetup-join&amp;deeplinkId=3ebee058-078f-4415-a4c9-715139f037e3&amp;directDl=true&amp;msLaunch=true&amp;enableMobilePage=true&amp;suppressPrompt=true" TargetMode="External"/><Relationship Id="rId339" Type="http://schemas.openxmlformats.org/officeDocument/2006/relationships/hyperlink" Target="https://teams.microsoft.com/dl/launcher/launcher.html?url=%2F_%23%2Fl%2Fmeetup-join%2F19%3Ameeting_MGRiNGU4MTAtMTI4Ni00YzljLWE4YjUtYzIzNWMzZDcyYjA0%40thread.v2%2F0%3Fcontext%3D%257b%2522Tid%2522%253a%2522823ace76-f3f5-4396-9a3b-bb149c779beb%2522%252c%2522Oid%2522%253a%2522c3d14271-19db-4a98-a31d-1fe686fb4bbd%2522%257d%26anon%3Dtrue&amp;type=meetup-join&amp;deeplinkId=42eaa2af-f658-40bb-aa90-e1aee3e47364&amp;directDl=true&amp;msLaunch=true&amp;enableMobilePage=true&amp;suppressPrompt=true" TargetMode="External"/><Relationship Id="rId78" Type="http://schemas.openxmlformats.org/officeDocument/2006/relationships/hyperlink" Target="https://teams.microsoft.com/l/meetup-join/19%3ameeting_MzYzMjEzODAtZjQ1Mi00ZTk3LWFkZmQtYTkwMWNiZThmZTY4%40thread.v2/0?context=%7b%22Tid%22%3a%2214de155f-e192-44da-994d-1913d8658372%22%2c%22Oid%22%3a%2204a273b8-28ba-4099-9b31-ca5e8d396a0f%22%7d" TargetMode="External"/><Relationship Id="rId99" Type="http://schemas.openxmlformats.org/officeDocument/2006/relationships/hyperlink" Target="https://meet.google.com/kqm-ahaa-ket" TargetMode="External"/><Relationship Id="rId101" Type="http://schemas.openxmlformats.org/officeDocument/2006/relationships/hyperlink" Target="https://meet.google.com/yrk-gfow-jtu?authuser=0" TargetMode="External"/><Relationship Id="rId122" Type="http://schemas.openxmlformats.org/officeDocument/2006/relationships/hyperlink" Target="https://us02web.zoom.us/j/83738175064" TargetMode="External"/><Relationship Id="rId143" Type="http://schemas.openxmlformats.org/officeDocument/2006/relationships/hyperlink" Target="http://meet.google.com/wne-vvtg-frb" TargetMode="External"/><Relationship Id="rId164" Type="http://schemas.openxmlformats.org/officeDocument/2006/relationships/hyperlink" Target="https://meet.google.com/ttr-xwhw-yvm" TargetMode="External"/><Relationship Id="rId185" Type="http://schemas.openxmlformats.org/officeDocument/2006/relationships/hyperlink" Target="https://teams.microsoft.com/dl/launcher/launcher.html?url=%2F_%23%2Fl%2Fmeetup-join%2F19%3Ameeting_MmUzNDAwZWYtOTJlZi00ZDFkLWJiOTItYzVlMjZjNDc5OTRj%40thread.v2%2F0%3Fcontext%3D%257b%2522Tid%2522%253a%2522823ace76-f3f5-4396-9a3b-bb149c779beb%2522%252c%2522Oid%2522%253a%25226316b340-0d0c-4eaa-8aa6-fccc262ca404%2522%257d%26anon%3Dtrue&amp;type=meetup-join&amp;deeplinkId=dec5384d-a3c7-4334-b085-b6d002a96aef&amp;directDl=true&amp;msLaunch=true&amp;enableMobilePage=true&amp;suppressPrompt=true" TargetMode="External"/><Relationship Id="rId350" Type="http://schemas.openxmlformats.org/officeDocument/2006/relationships/hyperlink" Target="https://teams.microsoft.com/dl/launcher/launcher.html?url=%2F_%23%2Fl%2Fmeetup" TargetMode="External"/><Relationship Id="rId9" Type="http://schemas.openxmlformats.org/officeDocument/2006/relationships/hyperlink" Target="https://meet.google.com/tnt-ejsb-hoh" TargetMode="External"/><Relationship Id="rId210" Type="http://schemas.openxmlformats.org/officeDocument/2006/relationships/hyperlink" Target="https://teams.microsoft.com/l/meetup-join/19%3ameeting_NDA0ZjJkYzYtMWE3NC00MWNlLWIxY2QtYzFjM2JjZjFlMTU4%40thread.v2/0?context=%7b%22Tid%22%3a%22823ace76-f3f5-4396-9a3b-bb149c779beb%22%2c%22Oid%22%3a%2220108af8-ac3e-446c-894a-f8407314940d%22%7d" TargetMode="External"/><Relationship Id="rId26" Type="http://schemas.openxmlformats.org/officeDocument/2006/relationships/hyperlink" Target="http://teams.microsoft.com/" TargetMode="External"/><Relationship Id="rId231" Type="http://schemas.openxmlformats.org/officeDocument/2006/relationships/hyperlink" Target="mailto:lbarreto@sdp.gov.co" TargetMode="External"/><Relationship Id="rId252" Type="http://schemas.openxmlformats.org/officeDocument/2006/relationships/hyperlink" Target="mailto:lbarreto@sdp.gov.co" TargetMode="External"/><Relationship Id="rId273" Type="http://schemas.openxmlformats.org/officeDocument/2006/relationships/hyperlink" Target="https://teams.microsoft.com/l/meetup-join/19%3ameeting_MDcyYjNiNzYtNjU5ZS00OTAyLWJhNjAtYTBiMTM3ZTYwN2Fk%40thread.v2/0?context=%7b%22Tid%22%3a%22823ace76-f3f5-4396-9a3b-bb149c779beb%22%2c%22Oid%22%3a%22a4f10e7d-23f1-4bbb-9952-41c273f603a2%22%7d" TargetMode="External"/><Relationship Id="rId294" Type="http://schemas.openxmlformats.org/officeDocument/2006/relationships/hyperlink" Target="https://teams.microsoft.com/l/meetup-join/19%3ameeting_MGYyMjk5NmEtODNiMS00NTU3LWJkZmItM2Q1NjU3ZDUwM2Vh%40thread.v2/0?context=%7b%22Tid%22%3a%2262014016-9db4-44c2-bf33-e4366b82fdaa%22%2c%22Oid%22%3a%22744b8b48-722f-42eb-b887-f6e3122ee069%22%7d" TargetMode="External"/><Relationship Id="rId308" Type="http://schemas.openxmlformats.org/officeDocument/2006/relationships/hyperlink" Target="https://teams.microsoft.com/dl/launcher/launcher.html?url=%2F_%23%2Fl%2Fmeetup-join%2F19%3Ameeting_YzE5NjczNWEtMWUxMS00YTVkLWE2MTQtM2YzOTBlZGI4YmVi%40thread.v2%2F0%3Fcontext%3D%257b%2522Tid%2522%253a%2522823ace76-f3f5-4396-9a3b-bb149c779beb%2522%252c%2522Oid%2522%253a%252221574392-447d-4244-bb92-9036280ce186%2522%257d%26anon%3Dtrue&amp;type=meetup-join&amp;deeplinkId=df243177-31e3-4deb-9348-17c3ad39e8e8&amp;directDl=true&amp;msLaunch=true&amp;enableMobilePage=true&amp;suppressPrompt=true" TargetMode="External"/><Relationship Id="rId329" Type="http://schemas.openxmlformats.org/officeDocument/2006/relationships/hyperlink" Target="https://meet.google.com/hsu-rhfj-wtg" TargetMode="External"/><Relationship Id="rId47" Type="http://schemas.openxmlformats.org/officeDocument/2006/relationships/hyperlink" Target="http://pduquefhi360.org/" TargetMode="External"/><Relationship Id="rId68" Type="http://schemas.openxmlformats.org/officeDocument/2006/relationships/hyperlink" Target="https://meet.google.com/ubi-wxge-vmz" TargetMode="External"/><Relationship Id="rId89" Type="http://schemas.openxmlformats.org/officeDocument/2006/relationships/hyperlink" Target="https://meet.google.com/awb-sjgw-yxf" TargetMode="External"/><Relationship Id="rId112" Type="http://schemas.openxmlformats.org/officeDocument/2006/relationships/hyperlink" Target="https://meet.google.com/zim-yktg-hvh" TargetMode="External"/><Relationship Id="rId133" Type="http://schemas.openxmlformats.org/officeDocument/2006/relationships/hyperlink" Target="https://meet.google.com/eus-kawm-ush" TargetMode="External"/><Relationship Id="rId154" Type="http://schemas.openxmlformats.org/officeDocument/2006/relationships/hyperlink" Target="https://meet.google.com/ryt-hstz-fjm" TargetMode="External"/><Relationship Id="rId175" Type="http://schemas.openxmlformats.org/officeDocument/2006/relationships/hyperlink" Target="https://meet.google.com/jpf-chxn-jev" TargetMode="External"/><Relationship Id="rId340" Type="http://schemas.openxmlformats.org/officeDocument/2006/relationships/hyperlink" Target="https://teams.microsoft.com/l/meetup-join/19%3ameeting_MWZhYTBhOTUtNDk3Yy00ZDFlLThkZmQtODM1NzFhZWFiOThj%40thread.v2/0?context=%7b%22Tid%22%3a%22823ace76-f3f5-4396-9a3b-bb149c779beb%22%2c%22Oid%22%3a%22c319e35c-0397-44bd-8c03-8ea992183a05%22%7d" TargetMode="External"/><Relationship Id="rId361" Type="http://schemas.openxmlformats.org/officeDocument/2006/relationships/hyperlink" Target="https://teams.microsoft.com/dl/launcher/launcher.html?url=%2F_%23%2Fl%2Fmeetup-join%2F19%3Ameeting_YWQwZmE2YTctMjJlNC00ZmQ3LTlhZTUtN2ViOWRmMTc4YjNl%40thread.v2%2F0%3Fcontext%3D%257b%2522Tid%2522%253a%2522823ace76-f3f5-4396-9a3b-bb149c779beb%2522%252c%2522Oid%2522%253a%25221358d833-572a-4148-8920-7fca07b8dc00%2522%257d%26anon%3Dtrue&amp;type=meetup-join&amp;deeplinkId=b864dbd8-3cc1-4f74-8f75-7042f24b023c&amp;directDl=true&amp;msLaunch=true&amp;enableMobilePage=true&amp;suppressPrompt=true" TargetMode="External"/><Relationship Id="rId196" Type="http://schemas.openxmlformats.org/officeDocument/2006/relationships/hyperlink" Target="https://teams.microsoft.com/l/meetup-join/19%3ameeting_ZTMwMGYyNDktNjVlNC00MGYxLTkxNjAtMDhkZmNjMTA5NmM1%40thread.v2/0?context=%7b%22Tid%22%3a%22823ace76-f3f5-4396-9a3b-bb149c779beb%22%2c%22Oid%22%3a%22c3d14271-19db-4a98-a31d-1fe686fb4bbd%22%7d" TargetMode="External"/><Relationship Id="rId200" Type="http://schemas.openxmlformats.org/officeDocument/2006/relationships/hyperlink" Target="https://teams.microsoft.com/l/meetup-join/19%3ameeting_NGMxODE5ZGEtYmZlMC00MjQyLWFmOGMtNTMwODkzZWJiOGIx%40thread.v2/0?context=%7b%22Tid%22%3a%22823ace76-f3f5-4396-9a3b-bb149c779beb%22%2c%22Oid%22%3a%226316b340-0d0c-4eaa-8aa6-fccc262ca404%22%7d" TargetMode="External"/><Relationship Id="rId16" Type="http://schemas.openxmlformats.org/officeDocument/2006/relationships/hyperlink" Target="http://meet.google.com/vok-reov-jsx" TargetMode="External"/><Relationship Id="rId221" Type="http://schemas.openxmlformats.org/officeDocument/2006/relationships/hyperlink" Target="https://teams.microsoft.com/l/meetup-join/19%3ameeting_NjI0YzAzN2QtNjVkMi00N2IxLTk1ZTItYzUwZmJiMTE1MmY5%40thread.v2/0?context=%7b%22Tid%22%3a%2214de155f-e192-44da-994d-1913d8658372%22%2c%22Oid%22%3a%22c414ee33-6949-427e-bf17-ea86ff12dbbb%22%7d" TargetMode="External"/><Relationship Id="rId242" Type="http://schemas.openxmlformats.org/officeDocument/2006/relationships/hyperlink" Target="mailto:lbarreto@sdp.gov.co" TargetMode="External"/><Relationship Id="rId263" Type="http://schemas.openxmlformats.org/officeDocument/2006/relationships/hyperlink" Target="https://teams.microsoft.com/l/meetup-join/19%3ameeting_MGYyMjk5NmEtODNiMS00NTU3LWJkZmItM2Q1NjU3ZDUwM2Vh%40thread.v2/0?context=%7b%22Tid%22%3a%2262014016-9db4-44c2-bf33-e4366b82fdaa%22%2c%22Oid%22%3a%22744b8b48-722f-42eb-b887-f6e3122ee069%22%7d" TargetMode="External"/><Relationship Id="rId284" Type="http://schemas.openxmlformats.org/officeDocument/2006/relationships/hyperlink" Target="https://teams.microsoft.com/dl/launcher/launcher.html?url=%2F_%23%2Fl%2Fmeetup-join%2F19%3Ameeting_MjYyZTg2MTAtMDVmMS00OTA2LTljZTItNzgzODQzMGE3MDY2%40thread.v2%2F0%3Fcontext%3D%257b%2522Tid%2522%253a%2522fc531237-43c6-44de-a1e8-d3bf6dc436e1%2522%252c%2522Oid%2522%253a%2522cad5d646-046d-49df-a496-74085da18f67%2522%257d%26anon%3Dtrue&amp;type=meetup-join&amp;deeplinkId=48094b4d-ea33-4571-87db-f24c38f0bfff&amp;directDl=true&amp;msLaunch=true&amp;enableMobilePage=true&amp;suppressPrompt=true" TargetMode="External"/><Relationship Id="rId319" Type="http://schemas.openxmlformats.org/officeDocument/2006/relationships/hyperlink" Target="https://teams.microsoft.com/l/meetup-join/19%3ameeting_ZWM4MjM5OGYtOGVjNS00Y2E5LThiZGQtNmZhZjdiYmQwMTg1%40thread.v2/0?context=%7b%22Tid%22%3a%22b096652d-23db-4751-aa7e-04b22767aec3%22%2c%22Oid%22%3a%2227a17ad7-7a10-4727-922a-d93d9263fec4%22%7d&amp;redirectToPreJoin=true&amp;redirectToPreJoin=true" TargetMode="External"/><Relationship Id="rId37" Type="http://schemas.openxmlformats.org/officeDocument/2006/relationships/hyperlink" Target="https://meet.google.com/bfq-tbmf-uxc" TargetMode="External"/><Relationship Id="rId58" Type="http://schemas.openxmlformats.org/officeDocument/2006/relationships/hyperlink" Target="https://teams.microsoft.com/l/meetup-join/19%3ameeting_NDdkZDIxZjktMjFhOC00Mjg0LWJlMDMtNjBmODQwM2YxM2Uz%40thread.v2/0?context=%7b%22Tid%22%3a%220f1156f1-406d-4123-99f0-a976b835b9b6%22%2c%22Oid%22%3a%22a633c68c-9716-4817-90ed-63669c0835f6%22%7d" TargetMode="External"/><Relationship Id="rId79" Type="http://schemas.openxmlformats.org/officeDocument/2006/relationships/hyperlink" Target="https://meet.google.com/ybo-enew-ghp?hs=224" TargetMode="External"/><Relationship Id="rId102" Type="http://schemas.openxmlformats.org/officeDocument/2006/relationships/hyperlink" Target="https://meet.google.com/inb-qpjo-ski" TargetMode="External"/><Relationship Id="rId123" Type="http://schemas.openxmlformats.org/officeDocument/2006/relationships/hyperlink" Target="https://meet.google.com/exk-cuyd-nuy" TargetMode="External"/><Relationship Id="rId144" Type="http://schemas.openxmlformats.org/officeDocument/2006/relationships/hyperlink" Target="http://meet.google.com/mbr-dfax-xdt" TargetMode="External"/><Relationship Id="rId330" Type="http://schemas.openxmlformats.org/officeDocument/2006/relationships/hyperlink" Target="https://teams.microsoft.com/dl/launcher/launcher.html?url=%2F_%23%2Fl%2Fmeetup-join%2F19%3Ameeting_ZDJiZGM0NmMtYTNkZS00NWYwLTg0NjQtYmQwMjIxOTAyYzQ2%40thread.v2%2F0%3Fcontext%3D%257b%2522Tid%2522%253a%2522823ace76-f3f5-4396-9a3b-bb149c779beb%2522%252c%2522Oid%2522%253a%25220e217661-3137-4ada-8ce3-b76148d5191a%2522%257d%26anon%3Dtrue&amp;type=meetup-join&amp;deeplinkId=85212fd3" TargetMode="External"/><Relationship Id="rId90" Type="http://schemas.openxmlformats.org/officeDocument/2006/relationships/hyperlink" Target="https://meet.google.com/dte-mwcz-phr?authuser=3" TargetMode="External"/><Relationship Id="rId165" Type="http://schemas.openxmlformats.org/officeDocument/2006/relationships/hyperlink" Target="https://teams.microsoft.com/l/meetup-join/19%3ameeting_ZTJmNzI3ZjUtNTRjMC00ZjRlLTk5NGEtNDBkMWZhZWExZjg0%40thread.v2/0?context=%7b%22Tid%22%3a%220f1156f1-406d-4123-99f0-a976b835b9b6%22%2c%22Oid%22%3a%22d1aec604-84bf-41fe-898e-8330e07d11b8%22%7d" TargetMode="External"/><Relationship Id="rId186" Type="http://schemas.openxmlformats.org/officeDocument/2006/relationships/hyperlink" Target="http://teams.live.com/meet/9399289087211?" TargetMode="External"/><Relationship Id="rId351" Type="http://schemas.openxmlformats.org/officeDocument/2006/relationships/hyperlink" Target="https://teams.microsoft.com/l/meetup-join/19%3ameeting_Yzg4MjQzZTYtYTc1NS00MGEyLWEzNDYtOTU1NzY5Zjc1YTEz%40thread.v2/0?context=%7b%22Tid%22%3a%22823ace76-f3f5-4396-9a3b-bb149c779beb%22%2c%22Oid%22%3a%226316b340-0d0c-4eaa-8aa6-fccc262ca404%22%7d" TargetMode="External"/><Relationship Id="rId211" Type="http://schemas.openxmlformats.org/officeDocument/2006/relationships/hyperlink" Target="https://teams.microsoft.com/l/meetup-join/19%3ameeting_ODlkOTY0Y2ItNDFlMy00MWRmLTk0OGUtYzE5NjM1YzM0NGJj%40thread.v2/0?context=%7b%22Tid%22%3a%22823ace76-f3f5-4396-9a3b-bb149c779beb%22%2c%22Oid%22%3a%226316b340-0d0c-4eaa-8aa6-fccc262ca404%22%7d" TargetMode="External"/><Relationship Id="rId232" Type="http://schemas.openxmlformats.org/officeDocument/2006/relationships/hyperlink" Target="mailto:lbarreto@sdp.gov.co" TargetMode="External"/><Relationship Id="rId253" Type="http://schemas.openxmlformats.org/officeDocument/2006/relationships/hyperlink" Target="mailto:lbarreto@sdp.gov.co" TargetMode="External"/><Relationship Id="rId274" Type="http://schemas.openxmlformats.org/officeDocument/2006/relationships/hyperlink" Target="https://teams.microsoft.com/l/meetup-join/19%3ameeting_Y2ZkZWZjNTAtNzQ4NS00OGZkLTg3ZTQtMTllNzUwN2Y3ODE3%40thread.v2/0?context=%7b%22Tid%22%3a%22823ace76-f3f5-4396-9a3b-bb149c779beb%22%2c%22Oid%22%3a%226316b340-0d0c-4eaa-8aa6-fccc262ca404%22%7d" TargetMode="External"/><Relationship Id="rId295" Type="http://schemas.openxmlformats.org/officeDocument/2006/relationships/hyperlink" Target="https://teams.microsoft.com/dl/launcher/launcher.html?url=%2F_%23%2Fl%2Fmeetup-join%2F19%3Ameeting_YjEwNTRmYTctNmI5Mi00ODUzLTljMTItYjk0MTk1YWFlNTcx%40thread.v2%2F0%3Fcontext%3D%257b%2522Tid%2522%253a%2522823ace76-f3f5-4396-9a3b-bb149c779beb%2522%252c%2522Oid%2522%253a%252221574392-447d-4244-bb92-9036280ce186%2522%257d%26anon%3Dtrue&amp;type=meetup-join&amp;deeplinkId=6ed84057-5654-4d63-8dc9-9c59a134035a&amp;directDl=true&amp;msLaunch=true&amp;enableMobilePage=true&amp;suppressPrompt=true" TargetMode="External"/><Relationship Id="rId309" Type="http://schemas.openxmlformats.org/officeDocument/2006/relationships/hyperlink" Target="https://teams.microsoft.com/dl/launcher/launcher.html?url=%2F_%23%2Fl%2Fmeetup-join%2F19%3Ameeting_N2E2YTQ5NWUtNjM4OC00NzgxLWEzNmMtZjgyZTdhNWU4ZWVi%40thread.v2%2F0%3Fcontext%3D%257b%2522Tid%2522%253a%2522823ace76-f3f5-4396-9a3b-bb149c779beb%2522%252c%2522Oid%2522%253a%252221574392-447d-4244-bb92-9036280ce186%2522%257d%26anon%3Dtrue&amp;type=meetup-join&amp;deeplinkId=a479f501-e643-40d4-a1fa-eff73e09f42e&amp;directDl=true&amp;msLaunch=true&amp;enableMobilePage=true&amp;suppressPrompt=true" TargetMode="External"/><Relationship Id="rId27" Type="http://schemas.openxmlformats.org/officeDocument/2006/relationships/hyperlink" Target="http://meet.google.com/oio-bbxn-zfn" TargetMode="External"/><Relationship Id="rId48" Type="http://schemas.openxmlformats.org/officeDocument/2006/relationships/hyperlink" Target="http://meet.google.com/fiy-opck-gur" TargetMode="External"/><Relationship Id="rId69" Type="http://schemas.openxmlformats.org/officeDocument/2006/relationships/hyperlink" Target="https://meet.google.com/bwk-stwo-xnn" TargetMode="External"/><Relationship Id="rId113" Type="http://schemas.openxmlformats.org/officeDocument/2006/relationships/hyperlink" Target="https://meet.google.com/yue-hyog-zdk" TargetMode="External"/><Relationship Id="rId134" Type="http://schemas.openxmlformats.org/officeDocument/2006/relationships/hyperlink" Target="https://teams.microsoft.com/l/meetup-join/19%3ameeting_ZTY2NDhmYzQtZTIyYi00MWFkLThhNDgtMTUzMWU5ZjgxOTFh%40thread.v2/0?context=%7b%22Tid%22%3a%220f1156f1-406d-4123-99f0-a976b835b9b6%22%2c%22Oid%22%3a%22238f0383-76da-46d4-a513-6126e5b28292%22%7d" TargetMode="External"/><Relationship Id="rId320" Type="http://schemas.openxmlformats.org/officeDocument/2006/relationships/hyperlink" Target="mailto:Jose.perez@sdp.gov.co" TargetMode="External"/><Relationship Id="rId80" Type="http://schemas.openxmlformats.org/officeDocument/2006/relationships/hyperlink" Target="https://meet.google.com/fub-dxuv-npz" TargetMode="External"/><Relationship Id="rId155" Type="http://schemas.openxmlformats.org/officeDocument/2006/relationships/hyperlink" Target="https://meet.google.com/nnd-vejw-pfn" TargetMode="External"/><Relationship Id="rId176" Type="http://schemas.openxmlformats.org/officeDocument/2006/relationships/hyperlink" Target="https://teams.microsoft.com/l/meetup-join/19%3ameeting_NTczOGE3MzMtZjNiNi00MWQzLTgzMWYtYzI3YzI5NWNhNGI2%40thread.v2/0?context=%7b%22Tid%22%3a%22823ace76-f3f5-4396-9a3b-bb149c779beb%22%2c%22Oid%22%3a%228b219c5d-e070-459b-bb43-69273d60b008%22%7d" TargetMode="External"/><Relationship Id="rId197" Type="http://schemas.openxmlformats.org/officeDocument/2006/relationships/hyperlink" Target="https://teams.microsoft.com/l/meetup-join/19%3ameeting_NWY2MDY3NWMtMDNlOC00OTFlLWExZjItNWUwYWNiZDU5MTZj%40thread.v2/0?context=%7b%22Tid%22%3a%2214de155f-e192-44da-994d-1913d8658372%22%2c%22Oid%22%3a%22ae9147b3-6911-4fbc-af9d-8bed64aac1f6%22%7d" TargetMode="External"/><Relationship Id="rId341" Type="http://schemas.openxmlformats.org/officeDocument/2006/relationships/hyperlink" Target="https://meet.google.com/sjs-jdea-wbo?hs=224" TargetMode="External"/><Relationship Id="rId201" Type="http://schemas.openxmlformats.org/officeDocument/2006/relationships/hyperlink" Target="https://meet.google.com/bpe-gpth-esu" TargetMode="External"/><Relationship Id="rId222" Type="http://schemas.openxmlformats.org/officeDocument/2006/relationships/hyperlink" Target="https://teams.microsoft.com/v2/?meetingjoin=true" TargetMode="External"/><Relationship Id="rId243" Type="http://schemas.openxmlformats.org/officeDocument/2006/relationships/hyperlink" Target="mailto:lbarreto@sdp.gov.co" TargetMode="External"/><Relationship Id="rId264" Type="http://schemas.openxmlformats.org/officeDocument/2006/relationships/hyperlink" Target="https://teams.microsoft.com/l/meetup-join/19%3ameeting_YjA0ZjFhYzQtMDJkMy00NzYzLTlkM2QtNDAyZWE2ZjcxNDk0%40thread.v2/0?context=%7b%22Tid%22%3a%22823ace76-f3f5-4396-9a3b-bb149c779beb%22%2c%22Oid%22%3a%226316b340-0d0c-4eaa-8aa6-fccc262ca404%22%7d" TargetMode="External"/><Relationship Id="rId285" Type="http://schemas.openxmlformats.org/officeDocument/2006/relationships/hyperlink" Target="https://teams.microsoft.com/l/meetup-join/19%3ameeting_YTI3MmE0ZTgtNmM5YS00OTRjLTgzZDktNzBiN2Q0ZTEyNWZi%40thread.v2/0?context=%7b%22Tid%22%3a%22823ace76-f3f5-4396-9a3b-bb149c779beb%22%2c%22Oid%22%3a%226316b340-0d0c-4eaa-8aa6-fccc262ca404%22%7d" TargetMode="External"/><Relationship Id="rId17" Type="http://schemas.openxmlformats.org/officeDocument/2006/relationships/hyperlink" Target="https://capacitacion.moodle.serviciocivil.gov.co/curso/2168" TargetMode="External"/><Relationship Id="rId38" Type="http://schemas.openxmlformats.org/officeDocument/2006/relationships/hyperlink" Target="https://meet.google.com/sgv-jhtc-jzv" TargetMode="External"/><Relationship Id="rId59" Type="http://schemas.openxmlformats.org/officeDocument/2006/relationships/hyperlink" Target="https://meet.google.com/zgw-acvo-dfp" TargetMode="External"/><Relationship Id="rId103" Type="http://schemas.openxmlformats.org/officeDocument/2006/relationships/hyperlink" Target="https://meet.google.com/mge-zsxj-ivc" TargetMode="External"/><Relationship Id="rId124" Type="http://schemas.openxmlformats.org/officeDocument/2006/relationships/hyperlink" Target="https://meet.google.com/vby-ccoi-pgz" TargetMode="External"/><Relationship Id="rId310" Type="http://schemas.openxmlformats.org/officeDocument/2006/relationships/hyperlink" Target="https://teams.microsoft.com/l/meetup-join/19%3ameeting_NmM0MGMwMjAtYzI5NC00NzAyLTg4MDEtNTAzN2JlZGZlMDYw%40thread.v2/0?context=%7b%22Tid%22%3a%22823ace76-f3f5-4396-9a3b-bb149c779beb%22%2c%22Oid%22%3a%226316b340-0d0c-4eaa-8aa6-fccc262ca404%22%7d" TargetMode="External"/><Relationship Id="rId70" Type="http://schemas.openxmlformats.org/officeDocument/2006/relationships/hyperlink" Target="https://meet.google.com/iom-fdvw-krh?authuser=0" TargetMode="External"/><Relationship Id="rId91" Type="http://schemas.openxmlformats.org/officeDocument/2006/relationships/hyperlink" Target="https://tel.meet/ygg-mrdx-ifi?pin=5752820655403" TargetMode="External"/><Relationship Id="rId145" Type="http://schemas.openxmlformats.org/officeDocument/2006/relationships/hyperlink" Target="http://meet.google.com/mbr-dfax-xdt" TargetMode="External"/><Relationship Id="rId166" Type="http://schemas.openxmlformats.org/officeDocument/2006/relationships/hyperlink" Target="https://meet.google.com/bvw-scnx-cxw" TargetMode="External"/><Relationship Id="rId187" Type="http://schemas.openxmlformats.org/officeDocument/2006/relationships/hyperlink" Target="https://teams.microsoft.com/dl/launcher/launcher.html?url=%2F_%23%2Fl%2Fmeetup-join%2F19%3Ameeting_N2FlZjViMGMtYmM4NC00MTNkLTgxNTctMzliMmZjMjMxYjJj%40thread.v2%2F0%3Fcontext%3D%257b%2522Tid%2522%253a%2522823ace76-f3f5-4396-9a3b-bb149c779beb%2522%252c%2522Oid%2522%253a%2522c3d14271-19db-4a98-a31d-1fe686fb4bbd%2522%257d%26anon%3Dtrue&amp;type=meetup-join&amp;deeplinkId=a90bf1db-031e-40c6-8fce-5f478d23747b&amp;directDl=true&amp;msLaunch=true&amp;enableMobilePage=true&amp;suppressPrompt=true" TargetMode="External"/><Relationship Id="rId331" Type="http://schemas.openxmlformats.org/officeDocument/2006/relationships/hyperlink" Target="https://teams.microsoft.com/l/meetup-join/19%3ameeting_MzE2NjMzZTMtMTE3Zi00MzBkLWJkMDctOWFlMDVmNDExMjMz%40thread.v2/0?context=%7b%22Tid%22%3a%22823ace76-f3f5-4396-9a3b-bb149c779beb%22%2c%22Oid%22%3a%226316b340-0d0c-4eaa-8aa6-fccc262ca404%22%7d" TargetMode="External"/><Relationship Id="rId352" Type="http://schemas.openxmlformats.org/officeDocument/2006/relationships/hyperlink" Target="https://teams.microsoft.com/l/meetup-join/19%3ameeting_ZjIzNzBiNjItMWJkYS00YTNjLWJlMWUtZTcxNTg0OTdkZWMx%40thread.v2/0?context=%7b%22Tid%22%3a%22823ace76-f3f5-4396-9a3b-bb149c779beb%22%2c%22Oid%22%3a%226316b340-0d0c-4eaa-8aa6-fccc262ca404%22%7d" TargetMode="External"/><Relationship Id="rId1" Type="http://schemas.openxmlformats.org/officeDocument/2006/relationships/hyperlink" Target="http://meet.google.com/yaw-rxch-jcz" TargetMode="External"/><Relationship Id="rId212" Type="http://schemas.openxmlformats.org/officeDocument/2006/relationships/hyperlink" Target="https://teams.microsoft.com/l/meetup-join/19%3ameeting_MDgzYjhkNTItNjBiMS00NWYyLWI3MjMtODA2Mjk3YmZmYzc3%40thread.v2/0?context=%7b%22Tid%22%3a%22823ace76-f3f5-4396-9a3b-bb149c779beb%22%2c%22Oid%22%3a%22930ed79c-75e6-4bc9-a7bb-e8f45bbb479c%22%7d" TargetMode="External"/><Relationship Id="rId233" Type="http://schemas.openxmlformats.org/officeDocument/2006/relationships/hyperlink" Target="mailto:lbarreto@sdp.gov.co" TargetMode="External"/><Relationship Id="rId254" Type="http://schemas.openxmlformats.org/officeDocument/2006/relationships/hyperlink" Target="mailto:lbarreto@sdp.gov.co" TargetMode="External"/><Relationship Id="rId28" Type="http://schemas.openxmlformats.org/officeDocument/2006/relationships/hyperlink" Target="https://capacitacion.moodle.serviciocivil.gov.co/curso/2171" TargetMode="External"/><Relationship Id="rId49" Type="http://schemas.openxmlformats.org/officeDocument/2006/relationships/hyperlink" Target="https://meet.google.com/kem-nyeq-ius" TargetMode="External"/><Relationship Id="rId114" Type="http://schemas.openxmlformats.org/officeDocument/2006/relationships/hyperlink" Target="https://meet.google.com/iez-npad-qem" TargetMode="External"/><Relationship Id="rId275" Type="http://schemas.openxmlformats.org/officeDocument/2006/relationships/hyperlink" Target="https://meet.google.com/whd-btge-apj" TargetMode="External"/><Relationship Id="rId296" Type="http://schemas.openxmlformats.org/officeDocument/2006/relationships/hyperlink" Target="https://teams.microsoft.com/l/meetup-join/19%3ameeting_MGFkNzhkZGItYjA3NS00OTkzLWEyMmMtOTY2Njc4ZWNkNDE3%40thread.v2/0?context=%7b%22Tid%22%3a%22823ace76-f3f5-4396-9a3b-bb149c779beb%22%2c%22Oid%22%3a%226316b340-0d0c-4eaa-8aa6-fccc262ca404%22%7d" TargetMode="External"/><Relationship Id="rId300" Type="http://schemas.openxmlformats.org/officeDocument/2006/relationships/hyperlink" Target="https://teams.microsoft.com/v2/?meetingjoin=true" TargetMode="External"/><Relationship Id="rId60" Type="http://schemas.openxmlformats.org/officeDocument/2006/relationships/hyperlink" Target="http://meet.google.com/vaf-cyws-heo" TargetMode="External"/><Relationship Id="rId81" Type="http://schemas.openxmlformats.org/officeDocument/2006/relationships/hyperlink" Target="https://meet.google.com/cob-mwjp-oqi?hs=224" TargetMode="External"/><Relationship Id="rId135" Type="http://schemas.openxmlformats.org/officeDocument/2006/relationships/hyperlink" Target="http://meet.google.com/gtu-uouj-khd" TargetMode="External"/><Relationship Id="rId156" Type="http://schemas.openxmlformats.org/officeDocument/2006/relationships/hyperlink" Target="http://meet.google.com/fru-bvhk-sjs" TargetMode="External"/><Relationship Id="rId177" Type="http://schemas.openxmlformats.org/officeDocument/2006/relationships/hyperlink" Target="http://meet.google.com/sfb-wsqh-wnz" TargetMode="External"/><Relationship Id="rId198" Type="http://schemas.openxmlformats.org/officeDocument/2006/relationships/hyperlink" Target="https://www.youtube.com/watch?v=66DcYokSI24" TargetMode="External"/><Relationship Id="rId321" Type="http://schemas.openxmlformats.org/officeDocument/2006/relationships/hyperlink" Target="https://teams.microsoft.com/l/meetup-join/19%3ameeting_MTU0ZjRlNjUtOTVkMi00MjVkLWFkMjEtOGYwYzdlNTk5MzAz%40thread.v2/0?context=%7b%22Tid%22%3a%22823ace76-f3f5-4396-9a3b-bb149c779beb%22%2c%22Oid%22%3a%22a4f10e7d-23f1-4bbb-9952-41c273f603a2%22%7d" TargetMode="External"/><Relationship Id="rId342" Type="http://schemas.openxmlformats.org/officeDocument/2006/relationships/hyperlink" Target="https://teams.microsoft.com/l/meetup-join/19%3ameeting_MGQ2OTY4OTktODkyMC00OTc4LTg2NGYtZDE5MjcwZGZjODk0%40thread.v2/0?context=%7b%22Tid%22%3a%22823ace76-f3f5-4396-9a3b-bb149c779beb%22%2c%22Oid%22%3a%222790435e-fb56-451e-9e25-dd3ea87ffa3e%22%7d" TargetMode="External"/><Relationship Id="rId202" Type="http://schemas.openxmlformats.org/officeDocument/2006/relationships/hyperlink" Target="https://teams.microsoft.com/l/meetup-join/19%3ameeting_ZTg1ODkwYzktNTA1YS00YmQ3LTk5OTUtZDZhNjM1NDYyNDUy%40thread.v2/0?context=%7b%22Tid" TargetMode="External"/><Relationship Id="rId223" Type="http://schemas.openxmlformats.org/officeDocument/2006/relationships/hyperlink" Target="https://teams.microsoft.com/l/meetup-join/19%3ameeting_MWQzMmUzMDItZjc5YS00OGUxLTgzNDgtMDcwM2M5YWVjY2Ex%40thread.v2/0?context=%7b%22Tid%22%3a%22823ace76-f3f5-4396-9a3b-bb149c779beb%22%2c%22Oid%22%3a%226316b340-0d0c-4eaa-8aa6-fccc262ca404%22%7d" TargetMode="External"/><Relationship Id="rId244" Type="http://schemas.openxmlformats.org/officeDocument/2006/relationships/hyperlink" Target="mailto:lbarreto@sdp.gov.co" TargetMode="External"/><Relationship Id="rId18" Type="http://schemas.openxmlformats.org/officeDocument/2006/relationships/hyperlink" Target="https://meet.google.com/prw-boza-ayv?authuser=0" TargetMode="External"/><Relationship Id="rId39" Type="http://schemas.openxmlformats.org/officeDocument/2006/relationships/hyperlink" Target="https://meet.google.com/ajy-tors-cso" TargetMode="External"/><Relationship Id="rId265" Type="http://schemas.openxmlformats.org/officeDocument/2006/relationships/hyperlink" Target="https://teams.microsoft.com/l/meetup-join/19%3ameeting_NmNiNTgzNzItNDQ2My00YTFmLTkxNWEtYjdjY2E0NDg1MmE3%40thread.v2/0?context=%7b%22Tid%22%3a%22823ace76-f3f5-4396-9a3b-bb149c779beb%22%2c%22Oid%22%3a%226316b340-0d0c-4eaa-8aa6-fccc262ca404%22%7d" TargetMode="External"/><Relationship Id="rId286" Type="http://schemas.openxmlformats.org/officeDocument/2006/relationships/hyperlink" Target="https://teams.microsoft.com/l/meetup-join/19%3ameeting_MTI0MjRlNDgtZGZlMy00YTE4LWE4MTktNDliMjVkZGQxNWQy%40thread.v2/0?context=%7b%22Tid%22%3a%22823ace76-f3f5-4396-9a3b-bb149c779beb%22%2c%22Oid%22%3a%226316b340-0d0c-4eaa-8aa6-fccc262ca404%22%7d" TargetMode="External"/><Relationship Id="rId50" Type="http://schemas.openxmlformats.org/officeDocument/2006/relationships/hyperlink" Target="http://meet.google.com/zwj-xyfv-yko" TargetMode="External"/><Relationship Id="rId104" Type="http://schemas.openxmlformats.org/officeDocument/2006/relationships/hyperlink" Target="https://meet.google.com/uhe-rjjx-tex" TargetMode="External"/><Relationship Id="rId125" Type="http://schemas.openxmlformats.org/officeDocument/2006/relationships/hyperlink" Target="https://teams.microsoft.com/l/meetup-join/19%3ameeting_YzU1MjZjZmYtNzZkYS00NDIxLWI0NDUtZjRmNjZmNTNiMGUy%40thread.v2/0?context=%7b%22Tid%22%3a%220f1156f1-406d-4123-99f0-a976b835b9b6%22%2c%22Oid%22%3a%22b142065a-d40f-4349-8c8f-d933cf872452%22%7d" TargetMode="External"/><Relationship Id="rId146" Type="http://schemas.openxmlformats.org/officeDocument/2006/relationships/hyperlink" Target="https://meet.google.com/mdz-ruop-osj" TargetMode="External"/><Relationship Id="rId167" Type="http://schemas.openxmlformats.org/officeDocument/2006/relationships/hyperlink" Target="https://meet.google.com/ret-cpra-xdo" TargetMode="External"/><Relationship Id="rId188" Type="http://schemas.openxmlformats.org/officeDocument/2006/relationships/hyperlink" Target="https://teams.microsoft.com/l/meetup-join/19%3ameeting_NjlmMDhjZGYtYWZkZS00OGE3LWI3MDktNzZhMjMxNGU0NDYw%40thread.v2/0?context=%7b%22Tid%22%3a%22823ace76-f3f5-4396-9a3b-bb149c779beb%22%2c%22Oid%22%3a%229c309943-fbbd-4678-ad23-c1071e285941%22%7d" TargetMode="External"/><Relationship Id="rId311" Type="http://schemas.openxmlformats.org/officeDocument/2006/relationships/hyperlink" Target="https://teams.microsoft.com/l/meetup-join/19%3ameeting_OWZjOTg0YmItOWFhMC00Mjk1LTgzMDAtNDdlOTRmZTIzODIy%40thread.v2/0?context=%7b%22Tid%22%3a%220f1156f1-406d-4123-99f0-a976b835b9b6%22%2c%22Oid%22%3a%2294728f2b-e6aa-4125-b75f-f4470127c5c7%22%7d" TargetMode="External"/><Relationship Id="rId332" Type="http://schemas.openxmlformats.org/officeDocument/2006/relationships/hyperlink" Target="https://sumate.asuntosdelsur.org/link?external_url=https%3A%2F%2Fus06web.zoom.us%2Fj%2F83713392173%3Fpwd%3DDgVi0T73FdY6Ma3VM6aMIYoaqu2nfM.1" TargetMode="External"/><Relationship Id="rId353" Type="http://schemas.openxmlformats.org/officeDocument/2006/relationships/hyperlink" Target="https://teams.microsoft.com/l/meetup-join/19%3ameeting_OGE4MjJhMjgtMDAyZC00MjhkLThkOWYtYjExNDdkNmMwNzJm%40thread.v2/0?context=%7b%22Tid%22%3a%22823ace76-f3f5-4396-9a3b-bb149c779beb%22%2c%22Oid%22%3a%226316b340-0d0c-4eaa-8aa6-fccc262ca404%22%7d" TargetMode="External"/><Relationship Id="rId71" Type="http://schemas.openxmlformats.org/officeDocument/2006/relationships/hyperlink" Target="https://meet.google.com/xvx-yegr-xri?pli=1&amp;authuser=1" TargetMode="External"/><Relationship Id="rId92" Type="http://schemas.openxmlformats.org/officeDocument/2006/relationships/hyperlink" Target="https://meet.google.com/tck-bgag-crs" TargetMode="External"/><Relationship Id="rId213" Type="http://schemas.openxmlformats.org/officeDocument/2006/relationships/hyperlink" Target="https://teams.microsoft.com/dl/launcher/launcher.html?url=%2F_%23%2Fl%2Fmeetup-" TargetMode="External"/><Relationship Id="rId234" Type="http://schemas.openxmlformats.org/officeDocument/2006/relationships/hyperlink" Target="mailto:lbarreto@sdp.gov.co" TargetMode="External"/><Relationship Id="rId2" Type="http://schemas.openxmlformats.org/officeDocument/2006/relationships/hyperlink" Target="http://meet.google.com/hoh-osqb-xar" TargetMode="External"/><Relationship Id="rId29" Type="http://schemas.openxmlformats.org/officeDocument/2006/relationships/hyperlink" Target="https://meet.google.com/fbu-weaq-eor" TargetMode="External"/><Relationship Id="rId255" Type="http://schemas.openxmlformats.org/officeDocument/2006/relationships/hyperlink" Target="https://teams.microsoft.com/l/meetup-join/19%3ameeting_ODk0MDE3MmMtM2VjNi00YTE4LWJlNGYtOTdiMmUzMzVlNTFj%40thread.v2/0?context=%7b%22Tid%22%3a%2214de155f-e192-44da-994d-1913d8658372%22%2c%22Oid%22%3a%2289d60a93-da5c-4f66-906f-922bd75dd075%22%7d" TargetMode="External"/><Relationship Id="rId276" Type="http://schemas.openxmlformats.org/officeDocument/2006/relationships/hyperlink" Target="https://teams.microsoft.com/v2/?meetingjoin=true" TargetMode="External"/><Relationship Id="rId297" Type="http://schemas.openxmlformats.org/officeDocument/2006/relationships/hyperlink" Target="https://teams.microsoft.com/l/meetup-join/19%3ameeting_MTY1ZTk5Y2YtYzk1OC00MzQyLWI2ZjAtMzk5NmM4OTg5NjUw%40thread.v2/0?context=%7b%22Tid%22%3a%22823ace76-f3f5-4396-9a3b-bb149c779beb%22%2c%22Oid%22%3a%226316b340-0d0c-4eaa-8aa6-fccc262ca404%22%7d" TargetMode="External"/><Relationship Id="rId40" Type="http://schemas.openxmlformats.org/officeDocument/2006/relationships/hyperlink" Target="https://teams.microsoft.com/l/meetup-join/19:meeting_MTlkNTg4N2MtMjBjZi00YTRlLTkxOGUtZTBmMzg2MDkyMjg3@thread.v2/0?context=%7B%22Tid%22:%220f1156f1-406d-4123-99f0-a976b835b9b6%22,%22Oid%22:%22430bc0ff-ce83-4fe8-b1ae-8552f898fc40%22%7D" TargetMode="External"/><Relationship Id="rId115" Type="http://schemas.openxmlformats.org/officeDocument/2006/relationships/hyperlink" Target="http://meet.google.com/xjk-obpx-ohc" TargetMode="External"/><Relationship Id="rId136" Type="http://schemas.openxmlformats.org/officeDocument/2006/relationships/hyperlink" Target="https://meet.google.com/qbo-qtjo-gxi" TargetMode="External"/><Relationship Id="rId157" Type="http://schemas.openxmlformats.org/officeDocument/2006/relationships/hyperlink" Target="http://meet.google.com/inv-juyh-gsz" TargetMode="External"/><Relationship Id="rId178" Type="http://schemas.openxmlformats.org/officeDocument/2006/relationships/hyperlink" Target="http://meet.google.com/sfb-wsqh-wnz" TargetMode="External"/><Relationship Id="rId301" Type="http://schemas.openxmlformats.org/officeDocument/2006/relationships/hyperlink" Target="https://teams.microsoft.com/l/meetup-join/19%3ameeting_ZTE3ODc1MmEtYTY5YS00YjYwLTkwYzYtYmUxMTA2NDA1NjMy%40thread.v2/0?context=%7b%22Tid%22%3a%22823ace76-f3f5-4396-9a3b-bb149c779beb%22%2c%22Oid%22%3a%226316b340-0d0c-4eaa-8aa6-fccc262ca404%22%7d" TargetMode="External"/><Relationship Id="rId322" Type="http://schemas.openxmlformats.org/officeDocument/2006/relationships/hyperlink" Target="https://teams.microsoft.com/l/meetup-join/19%3ameeting_ZjU5YTIwZjktNjYyMi00YTM2LTliMjctZjdhMjFhMTMyMDli%40thread.v2/0?context=%7b%22Tid%22%3a%22823ace76-f3f5-4396-9a3b-bb149c779beb%22%2c%22Oid%22%3a%226316b340-0d0c-4eaa-8aa6-fccc262ca404%22%7d" TargetMode="External"/><Relationship Id="rId343" Type="http://schemas.openxmlformats.org/officeDocument/2006/relationships/hyperlink" Target="https://teams.microsoft.com/dl/launcher/launcher.html?url=%2F_%23%2Fl%2Fmeetup-join%2F19%3Ameeting_NzY0ZDdmYWItYWJlMS00YjIzLTk3NWYtYjc5MTBkMjFlYWYx%40thread.v2%2F0%3Fcontext%3D%257b%2522Tid%2522%253a%2522823ace76-f3f5-4396-9a3b-bb149c779beb%2522%252c%2522Oid%2522%253a%25227f421b1a-c8c9-4b88-a4cb-53cba7478c88%2522%257d%26anon%3Dtrue&amp;type=meetup-join&amp;deeplinkId=0d74ec1f-13e9-4b4b-9ff4-0a88d9372236&amp;directDl=true&amp;msLaunch=true&amp;enableMobilePage=true&amp;suppressPrompt=true" TargetMode="External"/><Relationship Id="rId61" Type="http://schemas.openxmlformats.org/officeDocument/2006/relationships/hyperlink" Target="https://meet.google.com/mdd-pwtp-fkj" TargetMode="External"/><Relationship Id="rId82" Type="http://schemas.openxmlformats.org/officeDocument/2006/relationships/hyperlink" Target="https://meet.google.com/ohd-ddqw-zgd" TargetMode="External"/><Relationship Id="rId199" Type="http://schemas.openxmlformats.org/officeDocument/2006/relationships/hyperlink" Target="https://teams.microsoft.com/l/meetup-join/19%3ameeting_ZTBjNmQ4YWUtOTY1NS00MGEyLTg4NjctMjMwYzgxN2NiNDU1%40thread.v2/0?context=%7b%22Tid%22%3a%22823ace76-f3f5-4396-9a3b-bb149c779beb%22%2c%22Oid%22%3a%226316b340-0d0c-4eaa-8aa6-fccc262ca404%22%7d" TargetMode="External"/><Relationship Id="rId203" Type="http://schemas.openxmlformats.org/officeDocument/2006/relationships/hyperlink" Target="https://teams.microsoft.com/l/meetup-join/19%3ameeting_YzhhM2VkNmYtYzVhOS00NDM1LTlkMjgtMzQ5ZWZjMGNiMmU0%40thread.v2/0?context=%7b%22Tid%22%3a%22823ace76-f3f5-4396-9a3b-bb149c779beb%22%2c%22Oid%22%3a%226316b340-0d0c-4eaa-8aa6-fccc262ca404%22%7d" TargetMode="External"/><Relationship Id="rId19" Type="http://schemas.openxmlformats.org/officeDocument/2006/relationships/hyperlink" Target="https://meet.google.com/nvi-bsrm-eda" TargetMode="External"/><Relationship Id="rId224" Type="http://schemas.openxmlformats.org/officeDocument/2006/relationships/hyperlink" Target="mailto:lbarreto@sdp.gov.co" TargetMode="External"/><Relationship Id="rId245" Type="http://schemas.openxmlformats.org/officeDocument/2006/relationships/hyperlink" Target="mailto:lbarreto@sdp.gov.co" TargetMode="External"/><Relationship Id="rId266" Type="http://schemas.openxmlformats.org/officeDocument/2006/relationships/hyperlink" Target="https://teams.microsoft.com/l/meetup-join/19%3ameeting_NDQ0ODU4MTktZWU3Mi00MWRiLWJjMWYtOGY4MzgxZGM4ZDBm%40thread.v2/0?context=%7b%22Tid%22%3a%22823ace76-f3f5-4396-9a3b-bb149c779beb%22%2c%22Oid%22%3a%226316b340-0d0c-4eaa-8aa6-fccc262ca404%22%7d" TargetMode="External"/><Relationship Id="rId287" Type="http://schemas.openxmlformats.org/officeDocument/2006/relationships/hyperlink" Target="https://teams.microsoft.com/l/meetup-join/19%3ameeting_MWRhNTVkZjYtNWYyOC00NGYzLTgyOGMtZmY5ZmMzN2JiZjg4%40thread.v2/0?context=%7b%22Tid%22%3a%22823ace76-f3f5-4396-9a3b-bb149c779beb%22%2c%22Oid%22%3a%226316b340-0d0c-4eaa-8aa6-fccc262ca404%22%7d" TargetMode="External"/><Relationship Id="rId30" Type="http://schemas.openxmlformats.org/officeDocument/2006/relationships/hyperlink" Target="https://teams.microsoft.com/l/meetup-join/19%3ameeting_ODdiYmE4YjktOWM3ZS00NDVjLTk5MjQtM2ViY2YzZWY2OTBk%40thread.v2/0?context=%7b%22Tid%22%3a%2214de155f-e192-44da-994d-1913d8658372%22%2c%22Oid%22%3a%223c5201d6-5585-4bfa-bce9-d631979e3445%22%7d" TargetMode="External"/><Relationship Id="rId105" Type="http://schemas.openxmlformats.org/officeDocument/2006/relationships/hyperlink" Target="https://meet.google.com/kqw-wtxz-fke" TargetMode="External"/><Relationship Id="rId126" Type="http://schemas.openxmlformats.org/officeDocument/2006/relationships/hyperlink" Target="https://meet.google.com/qqi-txuw-ukg" TargetMode="External"/><Relationship Id="rId147" Type="http://schemas.openxmlformats.org/officeDocument/2006/relationships/hyperlink" Target="https://meet.google.com/unb-dwxs-yjb" TargetMode="External"/><Relationship Id="rId168" Type="http://schemas.openxmlformats.org/officeDocument/2006/relationships/hyperlink" Target="https://meet.google.com/nwh-sbnk-bzr" TargetMode="External"/><Relationship Id="rId312" Type="http://schemas.openxmlformats.org/officeDocument/2006/relationships/hyperlink" Target="https://teams.microsoft.com/l/meetup-join/19%3ameeting_N2RhOWUwOTEtM2VhZC00NzRmLTg5YzItYWIwNTUwZGUzMTBi%40thread.v2/0?context=%7b%22Tid%22%3a%22823ace76-f3f5-4396-9a3b-bb149c779beb%22%2c%22Oid%22%3a%226316b340-0d0c-4eaa-8aa6-fccc262ca404%22%7d" TargetMode="External"/><Relationship Id="rId333" Type="http://schemas.openxmlformats.org/officeDocument/2006/relationships/hyperlink" Target="https://teams.live.com/" TargetMode="External"/><Relationship Id="rId354" Type="http://schemas.openxmlformats.org/officeDocument/2006/relationships/hyperlink" Target="ttps://meet.google.com/rfw-jsic-cjn" TargetMode="External"/><Relationship Id="rId51" Type="http://schemas.openxmlformats.org/officeDocument/2006/relationships/hyperlink" Target="https://teams.microsoft.com/l/meetup-join/19%3ameeting_MjhjZmQyYjgtNWJmOC00ZmNhLTgyODMtOWNhMGQxZjNlZGRh%40thread.v2/0?context=%7b%22Tid%22%3a%220f1156f1-406d-4123-99f0-a976b835b9b6%22%2c%22Oid%22%3a%22e893fafa-8392-44ed-aa11-0e06fb4fa772%22%7d" TargetMode="External"/><Relationship Id="rId72" Type="http://schemas.openxmlformats.org/officeDocument/2006/relationships/hyperlink" Target="https://meet.google.com/qjx-kjcd-guf" TargetMode="External"/><Relationship Id="rId93" Type="http://schemas.openxmlformats.org/officeDocument/2006/relationships/hyperlink" Target="https://meet.google.com/tck-bgag-crs" TargetMode="External"/><Relationship Id="rId189" Type="http://schemas.openxmlformats.org/officeDocument/2006/relationships/hyperlink" Target="https://teams.microsoft.com/l/meetup-join/19%3ameeting_ZWU4OTVlOTAtZDM4Ny00OGQ1LWIzOWQtMDM1NDNhNDliMjc1%40thread.v2/0?context=%7b%22Tid%22%3a%22823ace76-f3f5-4396-9a3b-bb149c779beb%22%2c%22Oid%22%3a%22c2bb20c6-50c0-41f9-a053-1015ef44523e%22%7d" TargetMode="External"/><Relationship Id="rId3" Type="http://schemas.openxmlformats.org/officeDocument/2006/relationships/hyperlink" Target="http://meet.google.com/hme-ckby-nni" TargetMode="External"/><Relationship Id="rId214" Type="http://schemas.openxmlformats.org/officeDocument/2006/relationships/hyperlink" Target="https://teams.microsoft.com/dl/launcher/launcher.html?url=%2F_%23%2Fl%2Fmeetup-join%2F19%3Ameeting_MTQxMGRlYTMtOTk3Ny00NjgxLTg1YWYtNzc2MTFjMDIyZjU0%40thread.v2%2F0%3Fcontext%3D%257b%2522Tid%2522%253a%2522823ace76-f3f5-4396-9a3b-bb149c779beb%2522%252c%2522Oid%2522%253a%252222767417-92c1-4670-b0c1-d3e248d47a47%2522%257d%26anon%3Dtrue&amp;type=meetup-join&amp;deeplinkId=30fc2d1a-c007-48fd-a771-7407e7d6008d&amp;directDl=true&amp;msLaunch=true&amp;enableMobilePage=true&amp;suppressPrompt=true" TargetMode="External"/><Relationship Id="rId235" Type="http://schemas.openxmlformats.org/officeDocument/2006/relationships/hyperlink" Target="mailto:lbarreto@sdp.gov.co" TargetMode="External"/><Relationship Id="rId256" Type="http://schemas.openxmlformats.org/officeDocument/2006/relationships/hyperlink" Target="https://teams.microsoft.com/l/meetup-join/19%3ameeting_M2UxNjFjODItN2FlMi00OTMwLWFhMTAtYmI1OWVmNDA2ZGNj%40thread.v2/0?context=%7b%22Tid%22%3a%22fc531237-43c6-44de-a1e8-d3bf6dc436e1%22%2c%22Oid%22%3a%22cad5d646-046d-49df-a496-74085da18f67%22%7d" TargetMode="External"/><Relationship Id="rId277" Type="http://schemas.openxmlformats.org/officeDocument/2006/relationships/hyperlink" Target="https://teams.microsoft.com/l/meetup-join/19%3ameeting_YjBjZWUzYjgtNzBmYS00ODYyLWJlZjAtYzhlMzBlN2E4ZTdl%40thread.v2/0?context=%7b%22Tid%22%3a%22823ace76-f3f5-4396-9a3b-bb149c779beb%22%2c%22Oid%22%3a%22a4f10e7d-23f1-4bbb-9952-41c273f603a2%22%7d" TargetMode="External"/><Relationship Id="rId298" Type="http://schemas.openxmlformats.org/officeDocument/2006/relationships/hyperlink" Target="https://meet.google.com/eub-jbod-dmq" TargetMode="External"/><Relationship Id="rId116" Type="http://schemas.openxmlformats.org/officeDocument/2006/relationships/hyperlink" Target="https://meet.google.com/gtu-uouj-khd" TargetMode="External"/><Relationship Id="rId137" Type="http://schemas.openxmlformats.org/officeDocument/2006/relationships/hyperlink" Target="https://teams.microsoft.com/dl/launcher/launcher.html?url=%2F_%23%2Fl%2Fmeetup-join%2F19%3Ameeting_OGJlMTlkNmMtZjQ2MC00Y2Q4LTgzMWQtOTRkNzIwOTViODdi%40thread.v2%2F0%3Fcontext%3D%257b%2522Tid%2522%253a%2522b3e30808-e9a8-4f2a-9bc1-a760ae910cf5%2522%252c%2522Oid%2522%253a%252237611154-6326-474d-9819-3be8738dadde%2522%257d%26anon%3Dtrue&amp;type=meetup-join&amp;deeplinkId=e1bf15c8-c718-49c3-845c-eefa8297ed32&amp;directDl=true&amp;msLaunch=true&amp;enableMobilePage=true&amp;suppressPrompt=true" TargetMode="External"/><Relationship Id="rId158" Type="http://schemas.openxmlformats.org/officeDocument/2006/relationships/hyperlink" Target="https://teams.microsoft.com/l/meetup-join/19%3ameeting_NGJlYjM2ZjItNjM1ZS00NzU4LWJhMzctYmM1MzBkZDA2Zjk5%40thread.v2/0?context=%7b%22Tid%22%3a%220f1156f1-406d-4123-99f0-a976b835b9b6%22%2c%22Oid%22%3a%2228e5563c-fcfc-4492-9b8f-d9bf0268da71%22%7d" TargetMode="External"/><Relationship Id="rId302" Type="http://schemas.openxmlformats.org/officeDocument/2006/relationships/hyperlink" Target="https://teams.microsoft.com/dl/launcher/launcher.html?url=%2F_%23%2Fl%2Fmeetup-join%2F19%3Ameeting_ZWZmZmJjOTktY2E3Ny00ODIxLTk5MjMtM2Y0ZmM1NTJjNWY3%40thread.v2%2F0%3Fcontext%3D%257b%2522Tid%2522%253a%2522823ace76-f3f5-4396-9a3b-bb149c779beb%2522%252c%2522Oid%2522%253a%2522c3d14271-19db-4a98-a31d-1fe686fb4bbd%2522%257d%26anon%3Dtrue&amp;type=meetup-join&amp;deeplinkId=21154119-2727-43b7-97dc-5f80654222c7&amp;directDl=true&amp;msLaunch=true&amp;enableMobilePage=true&amp;suppressPrompt=true" TargetMode="External"/><Relationship Id="rId323" Type="http://schemas.openxmlformats.org/officeDocument/2006/relationships/hyperlink" Target="https://meet.google.com/ikw-kwuh-wwp?pli=1" TargetMode="External"/><Relationship Id="rId344" Type="http://schemas.openxmlformats.org/officeDocument/2006/relationships/hyperlink" Target="https://teams.live.com/v2/?tenantId=9188040d-6c67-4c5b-b112-36a304b66dad&amp;login_hint=pablosaiz81%40outlook.com" TargetMode="External"/><Relationship Id="rId20" Type="http://schemas.openxmlformats.org/officeDocument/2006/relationships/hyperlink" Target="https://teams.microsoft.com/l/meetup-join/19%3ameeting_MjhiMDVlODQtMTAzOC00ZDM2LTk1MGEtNTMwNzY1NzM1MjRi%40thread.v2/0?context=%7b%22Tid%22%3a%2262014016-9db4-44c2-bf33-e4366b82fdaa%22%2c%22Oid%22%3a%2230a857c4-693b-4638-8455-ae5dc1affa32%22%7d" TargetMode="External"/><Relationship Id="rId41" Type="http://schemas.openxmlformats.org/officeDocument/2006/relationships/hyperlink" Target="https://meet.google.com/uca-qrxr-hwn" TargetMode="External"/><Relationship Id="rId62" Type="http://schemas.openxmlformats.org/officeDocument/2006/relationships/hyperlink" Target="https://tel.meet/hjq-ujrs-nms?pin=2659448860485" TargetMode="External"/><Relationship Id="rId83" Type="http://schemas.openxmlformats.org/officeDocument/2006/relationships/hyperlink" Target="https://meet.google.com/tpv-iywc-kzz?authuser=0" TargetMode="External"/><Relationship Id="rId179" Type="http://schemas.openxmlformats.org/officeDocument/2006/relationships/hyperlink" Target="https://teams.microsoft.com/dl/launcher/launcher.html?url=%2F_%23%2Fl%2Fmeetup-join%2F19%3Ameeting_NDhjMjY4M2YtNjY4OC00NTI0LWI2MjktNjE3MzBjNTU5YmMy%40thread.v2%2F0%3Fcontext%3D%257b%2522Tid%2522%253a%2522823ace76-f3f5-4396-9a3b-bb149c779beb%2522%252c%2522Oid%2522%253a%25226316b340-0d0c-4eaa-8aa6-fccc262ca404%2522%257d%26anon%3Dtrue&amp;type=meetup-join&amp;deeplinkId=21165b7f-cf24-42dd-a811-9e7d69bf5771&amp;directDl=true&amp;msLaunch=true&amp;enableMobilePage=true&amp;suppressPrompt=true" TargetMode="External"/><Relationship Id="rId190" Type="http://schemas.openxmlformats.org/officeDocument/2006/relationships/hyperlink" Target="https://teams.microsoft.com/l/meetup-join/19%3ameeting_MWZkZDQ1YjYtNzcwYS00OTYwLWExOTEtYzgyOWMyNDBkYWM1%40thread.v2/0?context=%7b%22Tid%22%3a%22823ace76-f3f5-4396-9a3b-bb149c779beb%22%2c%22Oid%22%3a%2230095baa-f3a4-44b0-97c5-ae6c1d86c3e0%22%7d" TargetMode="External"/><Relationship Id="rId204" Type="http://schemas.openxmlformats.org/officeDocument/2006/relationships/hyperlink" Target="https://teams.microsoft.com/l/meetup-join/19:meeting_MjBhODc5NGMtYmZlZi00NzBiLWI2MDItNGE4MTc0NTQwNmEz@thread.v2/0?context=%7B%22Tid%22:%22823ace76-f3f5-4396-9a3b-bb149c779beb%22,%22Oid%22:%22840f493a-28e9-4a5b-a6b7-523e9dc40cb7%22%7D" TargetMode="External"/><Relationship Id="rId225" Type="http://schemas.openxmlformats.org/officeDocument/2006/relationships/hyperlink" Target="mailto:lbarreto@sdp.gov.co" TargetMode="External"/><Relationship Id="rId246" Type="http://schemas.openxmlformats.org/officeDocument/2006/relationships/hyperlink" Target="mailto:lbarreto@sdp.gov.co" TargetMode="External"/><Relationship Id="rId267" Type="http://schemas.openxmlformats.org/officeDocument/2006/relationships/hyperlink" Target="https://teams.microsoft.com/l/meetup-join/19%3ameeting_ZTczYWVmZTMtYzJhYy00ZGNkLWIwZTYtMTI0NjhhMTdlY2Yx%40thread.v2/0?context=%7b%22Tid%22%3a%22823ace76-f3f5-4396-9a3b-bb149c779beb%22%2c%22Oid%22%3a%226316b340-0d0c-4eaa-8aa6-fccc262ca404%22%7d" TargetMode="External"/><Relationship Id="rId288" Type="http://schemas.openxmlformats.org/officeDocument/2006/relationships/hyperlink" Target="https://teams.microsoft.com/v2/?meetingjoin=true" TargetMode="External"/><Relationship Id="rId106" Type="http://schemas.openxmlformats.org/officeDocument/2006/relationships/hyperlink" Target="https://meet.google.com/age-bhxg-vst" TargetMode="External"/><Relationship Id="rId127" Type="http://schemas.openxmlformats.org/officeDocument/2006/relationships/hyperlink" Target="https://meet.google.com/rbo-eyiq-zbg" TargetMode="External"/><Relationship Id="rId313" Type="http://schemas.openxmlformats.org/officeDocument/2006/relationships/hyperlink" Target="https://teams.live.com/meet/9327551445110?p=kuOhRN0ixxadE5hTCz" TargetMode="External"/><Relationship Id="rId10" Type="http://schemas.openxmlformats.org/officeDocument/2006/relationships/hyperlink" Target="http://meet.google.com/bpv-cehg-wwa" TargetMode="External"/><Relationship Id="rId31" Type="http://schemas.openxmlformats.org/officeDocument/2006/relationships/hyperlink" Target="https://teams.microsoft.com/l/meetup-join/19%3ameeting_NGUyZmYyZTUtNmEyNS00MWQwLTg4OTgtYTNhNjI0YzhlNmMy%40thread.v2/0?context=%7b%22Tid%22%3a%220f1156f1-406d-4123-99f0-a976b835b9b6%22%2c%22Oid%22%3a%22238f0383-76da-46d4-a513-6126e5b28292%22%7d" TargetMode="External"/><Relationship Id="rId52" Type="http://schemas.openxmlformats.org/officeDocument/2006/relationships/hyperlink" Target="https://meet.google.com/biv-jgdj-nsv?authuser=0" TargetMode="External"/><Relationship Id="rId73" Type="http://schemas.openxmlformats.org/officeDocument/2006/relationships/hyperlink" Target="https://meet.google.com/bnf-cson-wcn" TargetMode="External"/><Relationship Id="rId94" Type="http://schemas.openxmlformats.org/officeDocument/2006/relationships/hyperlink" Target="http://meet.google.com/udc-eudz-sjf" TargetMode="External"/><Relationship Id="rId148" Type="http://schemas.openxmlformats.org/officeDocument/2006/relationships/hyperlink" Target="https://meet.google.com/khe-dhfd-nzr" TargetMode="External"/><Relationship Id="rId169" Type="http://schemas.openxmlformats.org/officeDocument/2006/relationships/hyperlink" Target="https://teams.microsoft.com/l/meetup-join/19%3ameeting_MDg3M2VlNGUtZTE3Ni00MzBlLWIzNTAtNmYzYTg0MzUzNmQ4%40thread.v2/0?context=%7b%22Tid%22%3a%2214de155f-e192-44da-994d-1913d8658372%22%2c%22Oid%22%3a%22f555f17c-d2af-4840-b055-999507699c5a%22%7d" TargetMode="External"/><Relationship Id="rId334" Type="http://schemas.openxmlformats.org/officeDocument/2006/relationships/hyperlink" Target="https://teams.microsoft.com/l/meetup-join/19%3ameeting_OTFmMzU4ZWEtZGIzYy00MmEwLThlOTEtYTIyM2Q1NzE0YjNi%40thread.v2/0?context=%7b%22Tid%22%3a%22823ace76-f3f5-4396-9a3b-bb149c779beb%22%2c%22Oid%22%3a%226316b340-0d0c-4eaa-8aa6-fccc262ca404%22%7d" TargetMode="External"/><Relationship Id="rId355" Type="http://schemas.openxmlformats.org/officeDocument/2006/relationships/hyperlink" Target="https://meet.google.com/ehy-kuok-dpb" TargetMode="External"/><Relationship Id="rId4" Type="http://schemas.openxmlformats.org/officeDocument/2006/relationships/hyperlink" Target="https://meet.google.com/srh-wbuz-adt" TargetMode="External"/><Relationship Id="rId180" Type="http://schemas.openxmlformats.org/officeDocument/2006/relationships/hyperlink" Target="https://teams.microsoft.com/dl/launcher/launcher.html?url=%2F_%23%2Fl%2Fmeetup-join%2F19%3Ameeting_ZTJmNzI3ZjUtNTRjMC00ZjRlLTk5NGEtNDBkMWZhZWExZjg0%40thread.v2%2F0%3Fcontext%3D%257b%2522Tid%2522%253a%25220f1156f1-406d-4123-99f0-a976b835b9b6%2522%252c%2522Oid%2522%253a%2522d1aec604-84bf-41fe-898e-8330e07d11b8%2522%257d%26anon%3Dtrue&amp;type=meetup-join&amp;deeplinkId=83ab73ea-4797-4a5b-961b-b3f5f984f268&amp;directDl=true&amp;msLaunch=true&amp;enableMobilePage=true&amp;suppressPrompt=true" TargetMode="External"/><Relationship Id="rId215" Type="http://schemas.openxmlformats.org/officeDocument/2006/relationships/hyperlink" Target="mailto:dvillamizar@sdp.gov.co" TargetMode="External"/><Relationship Id="rId236" Type="http://schemas.openxmlformats.org/officeDocument/2006/relationships/hyperlink" Target="mailto:lbarreto@sdp.gov.co" TargetMode="External"/><Relationship Id="rId257" Type="http://schemas.openxmlformats.org/officeDocument/2006/relationships/hyperlink" Target="https://teams.microsoft.com/l/meetup-join/19:meeting_ZDA4NDAzMzAtMjE0My00ZGQ0LTgzMTAtYzAzYmZkNDFlNDEz@thread.v2/0?context=%7B%22Tid%22:%22823ace76-f3f5-4396-9a3b-bb149c779beb%22,%22Oid%22:%226316b340-0d0c-4eaa-8aa6-fccc262ca404%22%7D" TargetMode="External"/><Relationship Id="rId278" Type="http://schemas.openxmlformats.org/officeDocument/2006/relationships/hyperlink" Target="https://teams.microsoft.com/l/meetup-join/19%3ameeting_NDVmYzc1ZWMtN2JjYy00OTVjLWIwODItOWU2M2QyMmZjYTVj%40thread.v2/0?context=%7b%22Tid%22%3a%220f1156f1-406d-4123-99f0-a976b835b9b6%22%2c%22Oid%22%3a%225414a45e-1449-4b28-8da1-369ff192446e%22%7d" TargetMode="External"/><Relationship Id="rId303" Type="http://schemas.openxmlformats.org/officeDocument/2006/relationships/hyperlink" Target="https://meet.google.com/qgq-dhhy-cmb" TargetMode="External"/><Relationship Id="rId42" Type="http://schemas.openxmlformats.org/officeDocument/2006/relationships/hyperlink" Target="https://capacitacion.moodle.serviciocivil.gov.co/curso/2174" TargetMode="External"/><Relationship Id="rId84" Type="http://schemas.openxmlformats.org/officeDocument/2006/relationships/hyperlink" Target="https://teams.microsoft.com/l/meetup-join/19%3ameeting_MzYzMjEzODAtZjQ1Mi00ZTk3LWFkZmQtYTkwMWNiZThmZTY4%40thread.v2/0?context=%7b%22Tid%22%3a%2214de155f-e192-44da-994d-1913d8658372%22%2c%22Oid%22%3a%2204a273b8-28ba-4099-9b31-ca5e8d396a0f%22%7d" TargetMode="External"/><Relationship Id="rId138" Type="http://schemas.openxmlformats.org/officeDocument/2006/relationships/hyperlink" Target="https://meet.google.com/swq-cpck-fob" TargetMode="External"/><Relationship Id="rId345" Type="http://schemas.openxmlformats.org/officeDocument/2006/relationships/hyperlink" Target="https://teams.microsoft.com/l/meetup-join/19%3ameeting_YmVjMDYyNzQtZTI2Ny00MGU0LWFhZTUtZWE4NjIwMzE4MzU2%40thread.v2/0?context=%7b%22Tid%22%3a%22823ace76-f3f5-4396-9a3b-bb149c779beb%22%2c%22Oid%22%3a%226316b340-0d0c-4eaa-8aa6-fccc262ca404%22%7d" TargetMode="External"/><Relationship Id="rId191" Type="http://schemas.openxmlformats.org/officeDocument/2006/relationships/hyperlink" Target="https://teams.microsoft.com/l/meetup-join/19%3ameeting_OGMxZmViZGYtMWFmNy00YTc1LWI5MzYtYjE0N2E4YjkxYzVj%40thread.v2/0?context=%7b%22Tid%22%3a%22823ace76-f3f5-4396-9a3b-bb149c779beb%22%2c%22Oid%22%3a%22a6e1cf2f-6898-4d40-a155-561d032d1282%22%7d" TargetMode="External"/><Relationship Id="rId205" Type="http://schemas.openxmlformats.org/officeDocument/2006/relationships/hyperlink" Target="https://teams.microsoft.com/l/meetup-join/19%3ameeting_YjBmZWJiMzEtYTQzYS00NzdjLWI4NDgtODM4OWM1OGIzMTEx%40thread.v2/0?context=%7b%22Tid%22%3a%22823ace76-f3f5-4396-9a3b-bb149c779beb%22%2c%22Oid%22%3a%226316b340-0d0c-4eaa-8aa6-fccc262ca404%22%7d" TargetMode="External"/><Relationship Id="rId247" Type="http://schemas.openxmlformats.org/officeDocument/2006/relationships/hyperlink" Target="mailto:lbarreto@sdp.gov.co" TargetMode="External"/><Relationship Id="rId107" Type="http://schemas.openxmlformats.org/officeDocument/2006/relationships/hyperlink" Target="https://meet.google.com/ave-dknh-acq" TargetMode="External"/><Relationship Id="rId289" Type="http://schemas.openxmlformats.org/officeDocument/2006/relationships/hyperlink" Target="https://meet.google.com/oea-iymr-hac" TargetMode="External"/><Relationship Id="rId11" Type="http://schemas.openxmlformats.org/officeDocument/2006/relationships/hyperlink" Target="https://teams.microsoft.com/l/meetup-join/19%253ameeting_Y2M1OTI0YjctYTVhYy00YzIwLTliOTAtNjM0OWM0MDU4YWE1%2540thread.v2/0?context%3D%257b%2522Tid%2522%253a%252214de155f-e192-44da-994d-1913d8658372%2522%252c%2522Oid%2522%253a%25228c154e64-91aa-4adc-aec5-c44dffdd103d%2522%257d&amp;sa=D&amp;source=calendar&amp;usd=2&amp;usg=AOvVaw17EqF5cZLIcQDaU6N1ZBwM" TargetMode="External"/><Relationship Id="rId53" Type="http://schemas.openxmlformats.org/officeDocument/2006/relationships/hyperlink" Target="https://meet.google.com/vky-wbyh-ige" TargetMode="External"/><Relationship Id="rId149" Type="http://schemas.openxmlformats.org/officeDocument/2006/relationships/hyperlink" Target="https://meet.google.com/jpm-oaod-zts" TargetMode="External"/><Relationship Id="rId314" Type="http://schemas.openxmlformats.org/officeDocument/2006/relationships/hyperlink" Target="mailto:claudiapatriciasolorzano@gmail.com" TargetMode="External"/><Relationship Id="rId356" Type="http://schemas.openxmlformats.org/officeDocument/2006/relationships/hyperlink" Target="https://teams.microsoft.com/l/meetup-join/19%3ameeting_ODgwNTlmYzAtNmVhYS00Zjc5LTkzNWQtMDFiMzJlYzliNDgz%40thread.v2/0?context=%7b%22Tid%22%3a%22823ace76-f3f5-4396-9a3b-bb149c779beb%22%2c%22Oid%22%3a%22a85d3405-4312-4517-be32-feb09a419024%22%7d" TargetMode="External"/><Relationship Id="rId95" Type="http://schemas.openxmlformats.org/officeDocument/2006/relationships/hyperlink" Target="https://meet.google.com/bub-tchw-ygj" TargetMode="External"/><Relationship Id="rId160" Type="http://schemas.openxmlformats.org/officeDocument/2006/relationships/hyperlink" Target="https://meet.google.com/drg-jgtb-xzp" TargetMode="External"/><Relationship Id="rId216" Type="http://schemas.openxmlformats.org/officeDocument/2006/relationships/hyperlink" Target="https://teams.microsoft.com/dl/launcher/launcher.html?url=%2F_%23%2Fl%2Fmeetup-join%2F19%3Ameeting_YmM0N2Y2YzAtNTk1Ni00ZDU2LWJkMGUtNjM5OTIwMmRmMDQ4%40thread.v2%2F0%3Fcontext%3D%257b%2522Tid%2522%253a%2522823ace76-f3f5-4396-9a3b-bb149c779beb%2522%252c%2522Oid%2522%253a%2522a4f10e7d-23f1-4bbb-9952-41c273f603a2%2522%257d%26anon%3Dtrue&amp;type=meetup-join&amp;deeplinkId=cf792301-087b-4429-b354-06b83233d6aa&amp;directDl=true&amp;msLaunch=true&amp;enableMobilePage=true&amp;suppressPrompt=true" TargetMode="External"/><Relationship Id="rId258" Type="http://schemas.openxmlformats.org/officeDocument/2006/relationships/hyperlink" Target="https://teams.microsoft.com/l/meetup-join/19:meeting_ZDQwZDVjMDAtM2Y2Zi00ZDg1LTgzMjYtZTIzZTM0NDhkOGRj@thread.v2/0?context=%7B%22Tid%22:%22823ace76-f3f5-4396-9a3b-bb149c779beb%22,%22Oid%22:%226316b340-0d0c-4eaa-8aa6-fccc262ca404%22%7D" TargetMode="External"/><Relationship Id="rId22" Type="http://schemas.openxmlformats.org/officeDocument/2006/relationships/hyperlink" Target="http://meet.google.com/nso-knfe-qeg" TargetMode="External"/><Relationship Id="rId64" Type="http://schemas.openxmlformats.org/officeDocument/2006/relationships/hyperlink" Target="https://meet.google.com/ikj-kdhk-xze?authuser=0" TargetMode="External"/><Relationship Id="rId118" Type="http://schemas.openxmlformats.org/officeDocument/2006/relationships/hyperlink" Target="https://meet.google.com/aar-cowq-nwv" TargetMode="External"/><Relationship Id="rId325" Type="http://schemas.openxmlformats.org/officeDocument/2006/relationships/hyperlink" Target="https://teams.microsoft.com/l/meetup-join/19%3ameeting_Mjc4YmEyMmEtZGIxMy00ZThhLWIzYjgtODViNThmZWIxNzU0%40thread.v2/0?context=%7b%22Tid%22%3a%22823ace76-f3f5-4396-9a3b-bb149c779beb%22%2c%22Oid%22%3a%226316b340-0d0c-4eaa-8aa6-fccc262ca404%22%7d" TargetMode="External"/><Relationship Id="rId171" Type="http://schemas.openxmlformats.org/officeDocument/2006/relationships/hyperlink" Target="https://meet.google.com/esw-pgho-emn" TargetMode="External"/><Relationship Id="rId227" Type="http://schemas.openxmlformats.org/officeDocument/2006/relationships/hyperlink" Target="mailto:lbarreto@sdp.gov.co" TargetMode="External"/><Relationship Id="rId269" Type="http://schemas.openxmlformats.org/officeDocument/2006/relationships/hyperlink" Target="https://teams.microsoft.com/l/meetup-join/19%3ameeting_ZmQ0ZjFhY2MtOTY3OS00OGFjLTg3MjAtZDBiZWFiY2JjMzQ1%40thread.v2/0?context=%7b%22Tid%22%3a%22823ace76-f3f5-4396-9a3b-bb149c779beb%22%2c%22Oid%22%3a%226316b340-0d0c-4eaa-8aa6-fccc262ca404%22%7d" TargetMode="External"/><Relationship Id="rId33" Type="http://schemas.openxmlformats.org/officeDocument/2006/relationships/hyperlink" Target="http://meet.google.com/bxj-xede-hem" TargetMode="External"/><Relationship Id="rId129" Type="http://schemas.openxmlformats.org/officeDocument/2006/relationships/hyperlink" Target="https://meet.google.com/htr-faou-dra" TargetMode="External"/><Relationship Id="rId280" Type="http://schemas.openxmlformats.org/officeDocument/2006/relationships/hyperlink" Target="https://teams.microsoft.com/meetingOptions/?organizerId=238f0383-76da-46d4-a513-6126e5b28292&amp;tenantId=0f1156f1-406d-4123-99f0-a976b835b9b6&amp;threadId=19_meeting_ZDFiM2FkNDgtY2JkZC00MGNhLWE3NDctNjYzNjE5M2Y3YzNl@thread.v2&amp;messageId=0&amp;language=es-ES" TargetMode="External"/><Relationship Id="rId336" Type="http://schemas.openxmlformats.org/officeDocument/2006/relationships/hyperlink" Target="https://teams.microsoft.com/l/meetup-join/19%3ameeting_NDFmOGY4ZTktYjk0ZS00YWZkLWJmYmYtOTcxYmFjZTIzY2Y2%40thread.v2/0?context=%7b%22Tid%22%3a%22823ace76-f3f5-4396-9a3b-bb149c779beb%22%2c%22Oid%22%3a%226316b340-0d0c-4eaa-8aa6-fccc262ca404%22%7d" TargetMode="External"/><Relationship Id="rId75" Type="http://schemas.openxmlformats.org/officeDocument/2006/relationships/hyperlink" Target="https://meet.google.com/gfw-cpkr-aot" TargetMode="External"/><Relationship Id="rId140" Type="http://schemas.openxmlformats.org/officeDocument/2006/relationships/hyperlink" Target="http://meet.google.com/gtu-uouj-khd" TargetMode="External"/><Relationship Id="rId182" Type="http://schemas.openxmlformats.org/officeDocument/2006/relationships/hyperlink" Target="https://teams.microsoft.com/l/meetup-join/19%3ameeting_MmE1MGJhY2QtMmFjMy00MWQ5LWE3ODgtNTM1YjE4MjNhNDQz%40thread.v2/0?context=%7b%22Tid%22%3a%22823ace76-f3f5-4396-9a3b-bb149c779beb%22%2c%22Oid%22%3a%229c309943-fbbd-4678-ad23-c1071e285941%22%7d" TargetMode="External"/><Relationship Id="rId6" Type="http://schemas.openxmlformats.org/officeDocument/2006/relationships/hyperlink" Target="https://meet.google.com/bde-vcfz-tik" TargetMode="External"/><Relationship Id="rId238" Type="http://schemas.openxmlformats.org/officeDocument/2006/relationships/hyperlink" Target="mailto:lbarreto@sdp.gov.co" TargetMode="External"/><Relationship Id="rId291" Type="http://schemas.openxmlformats.org/officeDocument/2006/relationships/hyperlink" Target="https://teams.microsoft.com/l/meetup-join/19%3ameeting_MTZjODIwMTEtZmQxMi00YmQyLWJjOWMtYWI1ZTRlZDFhMjFl%40thread.v2/0?context=%7b%22Tid%22%3a%22823ace76-f3f5-4396-9a3b-bb149c779beb%22%2c%22Oid%22%3a%2220108af8-ac3e-446c-894a-f8407314940d%22%7d" TargetMode="External"/><Relationship Id="rId305" Type="http://schemas.openxmlformats.org/officeDocument/2006/relationships/hyperlink" Target="mailto:Sergio.Burgos@ambientebogota.gov.co" TargetMode="External"/><Relationship Id="rId347" Type="http://schemas.openxmlformats.org/officeDocument/2006/relationships/hyperlink" Target="https://teams.microsoft.com/l/meetup-join/19%3ameeting_ZGQ5NWJmNmMtODZjYS00MjMxLTg0MjUtNjcyNDAxZjY4YjU0%40thread.v2/0?context=%7b%22Tid%22%3a%22823ace76-f3f5-4396-9a3b-bb149c779beb%22%2c%22Oid%22%3a%226316b340-0d0c-4eaa-8aa6-fccc262ca404%22%7d" TargetMode="External"/><Relationship Id="rId44" Type="http://schemas.openxmlformats.org/officeDocument/2006/relationships/hyperlink" Target="https://meet.google.com/kxb-xfvs-kkh" TargetMode="External"/><Relationship Id="rId86" Type="http://schemas.openxmlformats.org/officeDocument/2006/relationships/hyperlink" Target="http://meet.google.com/yfy-sywk-kmk" TargetMode="External"/><Relationship Id="rId151" Type="http://schemas.openxmlformats.org/officeDocument/2006/relationships/hyperlink" Target="http://meet.google.com/vqw-cgnn-moa" TargetMode="External"/><Relationship Id="rId193" Type="http://schemas.openxmlformats.org/officeDocument/2006/relationships/hyperlink" Target="https://teams.microsoft.com/l/meetup-join/19%3ameeting_ZWI0YWEyNDMtMmYwNC00NGVlLWI5MTYtNDI3ZjU1YmUwNDQ5%40thread.v2/0?context=%7b%22Tid%22%3a%22823ace76-f3f5-4396-9a3b-bb149c779beb%22%2c%22Oid%22%3a%226316b340-0d0c-4eaa-8aa6-fccc262ca404%22%7d" TargetMode="External"/><Relationship Id="rId207" Type="http://schemas.openxmlformats.org/officeDocument/2006/relationships/hyperlink" Target="https://teams.microsoft.com/l/meetup-join/19%3ameeting_Y2VmOTgwYTQtMDEwZC00MjAzLTkwNmItNWU0ZjkzZjAyZDY5%40thread.v2/0?context=%7b%22Tid%22%3a%22823ace76-f3f5-4396-9a3b-bb149c779beb%22%2c%22Oid%22%3a%226316b340-0d0c-4eaa-8aa6-fccc262ca404%22%7d" TargetMode="External"/><Relationship Id="rId249" Type="http://schemas.openxmlformats.org/officeDocument/2006/relationships/hyperlink" Target="mailto:lbarreto@sdp.gov.co" TargetMode="External"/><Relationship Id="rId13" Type="http://schemas.openxmlformats.org/officeDocument/2006/relationships/hyperlink" Target="http://meet.google.com/msf-zkqa-wqq" TargetMode="External"/><Relationship Id="rId109" Type="http://schemas.openxmlformats.org/officeDocument/2006/relationships/hyperlink" Target="https://meet.google.com/ksh-kacg-dsd" TargetMode="External"/><Relationship Id="rId260" Type="http://schemas.openxmlformats.org/officeDocument/2006/relationships/hyperlink" Target="https://meet.google.com/voh-vxpc-zjs" TargetMode="External"/><Relationship Id="rId316" Type="http://schemas.openxmlformats.org/officeDocument/2006/relationships/hyperlink" Target="https://teams.microsoft.com/l/meetup-join/19%3ameeting_MzNlNzA0MGEtYTAyMC00NzgxLWI4MzItNzllYzNkNzEyN2Ex%40thread.v2/0?context=%7b%22Tid%22%3a%22823ace76-f3f5-4396-9a3b-bb149c779beb%22%2c%22Oid%22%3a%22a4f10e7d-23f1-4bbb-9952-41c273f603a2%22%7d" TargetMode="External"/><Relationship Id="rId55" Type="http://schemas.openxmlformats.org/officeDocument/2006/relationships/hyperlink" Target="https://meet.google.com/hyq-exxk-ito" TargetMode="External"/><Relationship Id="rId97" Type="http://schemas.openxmlformats.org/officeDocument/2006/relationships/hyperlink" Target="https://meet.google.com/dxp-qkzf-ieh" TargetMode="External"/><Relationship Id="rId120" Type="http://schemas.openxmlformats.org/officeDocument/2006/relationships/hyperlink" Target="http://meet.google.com/xgf-escq-idz" TargetMode="External"/><Relationship Id="rId358" Type="http://schemas.openxmlformats.org/officeDocument/2006/relationships/hyperlink" Target="https://teams.microsoft.com/l/meetup-join/19%3ameeting_ZGQzMjk5NzItYzRhOS00ZmY1LWE2YjQtNTcxNTdiOWVmMjdk%40thread.v2/0?context=%7b%22Tid%22%3a%22823ace76-f3f5-4396-9a3b-bb149c779beb%22%2c%22Oid%22%3a%22840f493a-28e9-4a5b-a6b7-523e9dc40cb7%22%7d" TargetMode="External"/><Relationship Id="rId162" Type="http://schemas.openxmlformats.org/officeDocument/2006/relationships/hyperlink" Target="https://meet.google.com/xuj-bdts-pnu" TargetMode="External"/><Relationship Id="rId218" Type="http://schemas.openxmlformats.org/officeDocument/2006/relationships/hyperlink" Target="https://teams.microsoft.com/l/meetup-join/19%3ameeting_ODU4ZmE2OTgtZTkwYy00MGQyLTg4YTQtN2FhMmNiMDc5Mjgz%40thread.v2/0?context=%7b%22Tid%22%3a%22823ace76-f3f5-4396-9a3b-bb149c779beb%22%2c%22Oid%22%3a%226316b340-0d0c-4eaa-8aa6-fccc262ca404%22%7d" TargetMode="External"/><Relationship Id="rId271" Type="http://schemas.openxmlformats.org/officeDocument/2006/relationships/hyperlink" Target="https://teams.microsoft.com/l/meetup-join/19%3ameeting_Y2M3N2EzZDYtZWQ2ZS00NGUwLWJiZjktZDEwYmNiYTFiZTNm%40thread.v2/0?context=%7b%22Tid%22%3a%22823ace76-f3f5-4396-9a3b-bb149c779beb%22%2c%22Oid%22%3a%226316b340-0d0c-4eaa-8aa6-fccc262ca404%22%7d" TargetMode="External"/><Relationship Id="rId24" Type="http://schemas.openxmlformats.org/officeDocument/2006/relationships/hyperlink" Target="https://meet.google.com/ytq-gwpp-ysk" TargetMode="External"/><Relationship Id="rId66" Type="http://schemas.openxmlformats.org/officeDocument/2006/relationships/hyperlink" Target="https://meet.google.com/ywu-ggqj-epv" TargetMode="External"/><Relationship Id="rId131" Type="http://schemas.openxmlformats.org/officeDocument/2006/relationships/hyperlink" Target="https://meet.google.com/nqb-tupq-nvx" TargetMode="External"/><Relationship Id="rId327" Type="http://schemas.openxmlformats.org/officeDocument/2006/relationships/hyperlink" Target="https://teams.microsoft.com/l/meetup-join/19%3ameeting_NzFlM2U0OTktNTRiYS00MThjLWI1ZTUtNjA4N2I4NDBiZDk5%40thread.v2/0?context=%7b%22Tid%22%3a%2214de155f-e192-44da-994d-1913d8658372%22%2c%22Oid%22%3a%22cfecc331-4cc7-4a0a-b119-9ac4417c3074%22%7d" TargetMode="External"/><Relationship Id="rId173" Type="http://schemas.openxmlformats.org/officeDocument/2006/relationships/hyperlink" Target="https://meet.google.com/rgr-dzux-doc?hs=224" TargetMode="External"/><Relationship Id="rId229" Type="http://schemas.openxmlformats.org/officeDocument/2006/relationships/hyperlink" Target="https://teams.microsoft.com/l/meetup-join/19%3ameeting_NDljMWQ1MjUtNDY5Yy00MDY3LTkxOGYtNDliZmFlMDFjNzZi%40thread.v2/0?context=%7b%22Tid%22%3a%22823ace76-f3f5-4396-9a3b-bb149c779beb%22%2c%22Oid%22%3a%226316b340-0d0c-4eaa-8aa6-fccc262ca404%22%7d" TargetMode="External"/><Relationship Id="rId240" Type="http://schemas.openxmlformats.org/officeDocument/2006/relationships/hyperlink" Target="mailto:lbarreto@sdp.gov.co" TargetMode="External"/><Relationship Id="rId35" Type="http://schemas.openxmlformats.org/officeDocument/2006/relationships/hyperlink" Target="https://meet.google.com/mtr-aqzg-bdw?authuser=0&amp;hs=122&amp;ijlm=1710183836832" TargetMode="External"/><Relationship Id="rId77" Type="http://schemas.openxmlformats.org/officeDocument/2006/relationships/hyperlink" Target="http://meet.google.com/chh-oeyb-nan" TargetMode="External"/><Relationship Id="rId100" Type="http://schemas.openxmlformats.org/officeDocument/2006/relationships/hyperlink" Target="https://meet.google.com/zss-jgkc-rzv?authuser=0" TargetMode="External"/><Relationship Id="rId282" Type="http://schemas.openxmlformats.org/officeDocument/2006/relationships/hyperlink" Target="https://teams.microsoft.com/l/meetup-join/19%3ameeting_YWNlYWQ2NWMtZTQxMS00ZDlhLWFlNzctNWVkMzZlZmRjZjBj%40thread.v2/0?context=%7b%22Tid%22%3a%22823ace76-f3f5-4396-9a3b-bb149c779beb%22%2c%22Oid%22%3a%226316b340-0d0c-4eaa-8aa6-fccc262ca404%22%7d" TargetMode="External"/><Relationship Id="rId338" Type="http://schemas.openxmlformats.org/officeDocument/2006/relationships/hyperlink" Target="https://teams.microsoft.com/dl/launcher/launcher.html?url=%2F_%23%2Fl%2Fmeetup-join%2F19%3Ameeting_ZmE5NWU1YjQtNmM0Yi00YjYxLWEyNGEtNzNhZWMyZWVmYjdh%40thread.v2%2F0%3Fcontext%3D%257b%2522Tid%2522%253a%2522823ace76-f3f5-4396-9a3b-bb149c779beb%2522%252c%2522Oid%2522%253a%2522c3d14271-19db-4a98-a31d-1fe686fb4bbd%2522%257d%26anon%3Dtrue&amp;type=meetup-join&amp;deeplinkId=e238bb85-b51e-4326-b9b9-a235e5cec268&amp;directDl=true&amp;msLaunch=true&amp;enableMobilePage=true&amp;suppressPrompt=true" TargetMode="External"/><Relationship Id="rId8" Type="http://schemas.openxmlformats.org/officeDocument/2006/relationships/hyperlink" Target="https://meet.google.com/tnt-ejsb-hoh" TargetMode="External"/><Relationship Id="rId142" Type="http://schemas.openxmlformats.org/officeDocument/2006/relationships/hyperlink" Target="https://teams.microsoft.com/l/meetup-join/19%3ameeting_ZjRhMGUxYzUtNjBiYi00ZmQwLThlZDAtODZjODgwOWNhNmI2%40thread.v2/0?context=%7b%22Tid%22%3a%2226ae6adf-61be-443f-8dc4-6531b61a9a38%22%2c%22Oid%22%3a%229b024aee-a47e-4639-b10e-8327e14a5502%22%7d" TargetMode="External"/><Relationship Id="rId184" Type="http://schemas.openxmlformats.org/officeDocument/2006/relationships/hyperlink" Target="https://teams.microsoft.com/l/meetup-join/19%3ameeting_NDUzODk2YTEtNzBlYi00ZTg0LWIzNzMtOTk4ZjI0NDU1Y2Qx%40thread.v2/0?context=%7b%22Tid%22%3a%22823ace76-f3f5-4396-9a3b-bb149c779beb%22%2c%22Oid%22%3a%222dc74078-1a52-4d6f-bd2b-27b31ca4c657%22%7d" TargetMode="External"/><Relationship Id="rId251" Type="http://schemas.openxmlformats.org/officeDocument/2006/relationships/hyperlink" Target="mailto:lbarreto@sdp.gov.co" TargetMode="External"/><Relationship Id="rId46" Type="http://schemas.openxmlformats.org/officeDocument/2006/relationships/hyperlink" Target="http://meet.google.com/prz-ywsw-qew" TargetMode="External"/><Relationship Id="rId293" Type="http://schemas.openxmlformats.org/officeDocument/2006/relationships/hyperlink" Target="https://teams.microsoft.com/dl/launcher/launcher.html?url=%2F_%23%2Fl%2Fmeetup-join%2F19%3Ameeting_ZGU3YzU0ZWMtZTczZS00ZWJlLTg4MzUtOThkMWViYTQzMWFh%40thread.v2%2F0%3Fcontext%3D%257b%2522Tid%2522%253a%2522fc531237-43c6-44de-a1e8-d3bf6dc436e1%2522%252c%2522Oid%2522%253a%2522cad5d646-046d-49df-a496-74085da18f67%2522%257d%26anon%3Dtrue&amp;type=meetup-join&amp;deeplinkId=6f211e9b-f36d-4c72-9e88-fcf4cf549d08&amp;directDl=true&amp;msLaunch=true&amp;enableMobilePage=true&amp;suppressPrompt=true" TargetMode="External"/><Relationship Id="rId307" Type="http://schemas.openxmlformats.org/officeDocument/2006/relationships/hyperlink" Target="https://teams.microsoft.com/l/meetup-join/19%3ameeting_MDBiYjQyZGMtODhhZC00Mjc0LWE1Y2QtMGVhOGRkN2VmZjM5%40thread.v2/0?context=%7b%22Tid%22%3a%22823ace76-f3f5-4396-9a3b-bb149c779beb%22%2c%22Oid%22%3a%22840f493a-28e9-4a5b-a6b7-523e9dc40cb7%22%7d" TargetMode="External"/><Relationship Id="rId349" Type="http://schemas.openxmlformats.org/officeDocument/2006/relationships/hyperlink" Target="https://teams.microsoft.com/l/meetup-join/19%3ameeting_NGMzZGEyY2MtOTMxOS00ZGI5LThlMDUtOTI3M2EwN2Q1NGJm%40thread.v2/0?context=%7b%22Tid%22%3a%22823ace76-f3f5-4396-9a3b-bb149c779beb%22%2c%22Oid%22%3a%226316b340-0d0c-4eaa-8aa6-fccc262ca404%22%7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L1321"/>
  <sheetViews>
    <sheetView showGridLines="0" tabSelected="1" workbookViewId="0">
      <pane xSplit="5" ySplit="5" topLeftCell="F6" activePane="bottomRight" state="frozen"/>
      <selection pane="topRight"/>
      <selection pane="bottomLeft"/>
      <selection pane="bottomRight" activeCell="C2" sqref="C2"/>
    </sheetView>
  </sheetViews>
  <sheetFormatPr baseColWidth="10" defaultColWidth="11.5546875" defaultRowHeight="33.75" customHeight="1" outlineLevelCol="2"/>
  <cols>
    <col min="1" max="1" width="11.5546875" style="50" customWidth="1"/>
    <col min="2" max="2" width="40" style="50" customWidth="1"/>
    <col min="3" max="3" width="18.5546875" style="50" customWidth="1"/>
    <col min="4" max="4" width="11.5546875" style="50" customWidth="1"/>
    <col min="5" max="5" width="11.88671875" style="50" customWidth="1"/>
    <col min="6" max="6" width="18.33203125" style="50" customWidth="1"/>
    <col min="7" max="7" width="11.5546875" style="50" customWidth="1"/>
    <col min="8" max="8" width="30" style="50" customWidth="1"/>
    <col min="9" max="9" width="16.44140625" style="50" customWidth="1"/>
    <col min="10" max="10" width="11.5546875" style="50" customWidth="1"/>
    <col min="11" max="11" width="16.109375" style="50" hidden="1" customWidth="1"/>
    <col min="12" max="13" width="13.109375" style="50" hidden="1" customWidth="1"/>
    <col min="14" max="14" width="15.5546875" style="50" hidden="1" customWidth="1"/>
    <col min="15" max="15" width="15.33203125" style="50" customWidth="1" collapsed="1"/>
    <col min="16" max="21" width="11.5546875" style="51" hidden="1" customWidth="1" outlineLevel="1"/>
    <col min="22" max="22" width="15.109375" style="50" customWidth="1" collapsed="1"/>
    <col min="23" max="28" width="11.5546875" style="50" hidden="1" customWidth="1" outlineLevel="1"/>
    <col min="29" max="29" width="18.109375" style="50" customWidth="1" collapsed="1"/>
    <col min="30" max="39" width="11.5546875" style="52" hidden="1" customWidth="1" outlineLevel="1"/>
    <col min="40" max="40" width="11.5546875" style="50" customWidth="1"/>
    <col min="41" max="41" width="26" style="50" customWidth="1"/>
    <col min="42" max="43" width="11.5546875" style="50" customWidth="1"/>
    <col min="44" max="44" width="20.88671875" style="52" customWidth="1"/>
    <col min="45" max="45" width="11.5546875" style="50" customWidth="1"/>
    <col min="46" max="48" width="11.5546875" style="50" customWidth="1" outlineLevel="1"/>
    <col min="49" max="49" width="11.5546875" style="50" customWidth="1" outlineLevel="1" collapsed="1"/>
    <col min="50" max="52" width="11.5546875" style="50" hidden="1" customWidth="1" outlineLevel="2"/>
    <col min="53" max="53" width="32" style="50" customWidth="1" outlineLevel="1"/>
    <col min="54" max="55" width="11.5546875" style="50" customWidth="1"/>
    <col min="56" max="57" width="12.5546875" style="50" customWidth="1"/>
    <col min="58" max="58" width="11.5546875" style="50" customWidth="1"/>
    <col min="59" max="16384" width="11.5546875" style="50"/>
  </cols>
  <sheetData>
    <row r="1" spans="1:56" s="48" customFormat="1" ht="2.25" customHeight="1">
      <c r="A1" s="46"/>
      <c r="B1" s="47"/>
      <c r="C1" s="46">
        <v>0</v>
      </c>
      <c r="D1" s="47"/>
      <c r="E1" s="46"/>
      <c r="F1" s="47"/>
      <c r="G1" s="46"/>
      <c r="H1" s="47"/>
      <c r="I1" s="46"/>
      <c r="J1" s="46"/>
      <c r="K1" s="47"/>
      <c r="L1" s="46"/>
      <c r="M1" s="47"/>
      <c r="N1" s="46"/>
      <c r="O1" s="47"/>
      <c r="P1" s="46"/>
      <c r="Q1" s="46"/>
      <c r="R1" s="46"/>
      <c r="S1" s="46"/>
      <c r="T1" s="46"/>
      <c r="U1" s="46"/>
      <c r="V1" s="46"/>
      <c r="W1" s="47"/>
      <c r="X1" s="46"/>
      <c r="Y1" s="47"/>
      <c r="Z1" s="46"/>
      <c r="AA1" s="47"/>
      <c r="AB1" s="46"/>
      <c r="AC1" s="47"/>
      <c r="AD1" s="46"/>
      <c r="AE1" s="46"/>
      <c r="AF1" s="46"/>
      <c r="AG1" s="46"/>
      <c r="AH1" s="46"/>
      <c r="AI1" s="46"/>
      <c r="AJ1" s="46"/>
      <c r="AK1" s="46"/>
      <c r="AL1" s="46"/>
      <c r="AM1" s="46"/>
      <c r="AN1" s="46"/>
      <c r="AO1" s="46"/>
      <c r="AP1" s="47"/>
      <c r="AQ1" s="46"/>
      <c r="AR1" s="46"/>
      <c r="AS1" s="46"/>
      <c r="AT1" s="47"/>
      <c r="AU1" s="46"/>
      <c r="AV1" s="47"/>
      <c r="AW1" s="46"/>
      <c r="AX1" s="47"/>
      <c r="AY1" s="46"/>
      <c r="AZ1" s="47"/>
      <c r="BA1" s="46"/>
      <c r="BB1" s="47"/>
      <c r="BC1" s="1"/>
      <c r="BD1" s="1"/>
    </row>
    <row r="2" spans="1:56" s="61" customFormat="1" ht="70.2" customHeight="1">
      <c r="A2" s="54"/>
      <c r="B2" s="53" t="s">
        <v>5717</v>
      </c>
      <c r="C2" s="55"/>
      <c r="D2" s="56"/>
      <c r="E2" s="54"/>
      <c r="F2" s="54"/>
      <c r="G2" s="54"/>
      <c r="H2" s="57"/>
      <c r="I2" s="57"/>
      <c r="J2" s="54"/>
      <c r="K2" s="54"/>
      <c r="L2" s="57"/>
      <c r="M2" s="54"/>
      <c r="N2" s="57"/>
      <c r="O2" s="57"/>
      <c r="P2" s="54"/>
      <c r="Q2" s="54"/>
      <c r="R2" s="54"/>
      <c r="S2" s="54"/>
      <c r="T2" s="54"/>
      <c r="U2" s="54"/>
      <c r="V2" s="57"/>
      <c r="W2" s="54"/>
      <c r="X2" s="54"/>
      <c r="Y2" s="54"/>
      <c r="Z2" s="54"/>
      <c r="AA2" s="54"/>
      <c r="AB2" s="54"/>
      <c r="AC2" s="57"/>
      <c r="AD2" s="54"/>
      <c r="AE2" s="54"/>
      <c r="AF2" s="54"/>
      <c r="AG2" s="54"/>
      <c r="AH2" s="54"/>
      <c r="AI2" s="54"/>
      <c r="AJ2" s="54"/>
      <c r="AK2" s="54"/>
      <c r="AL2" s="54"/>
      <c r="AM2" s="54"/>
      <c r="AN2" s="57"/>
      <c r="AO2" s="57"/>
      <c r="AP2" s="57"/>
      <c r="AQ2" s="57"/>
      <c r="AR2" s="54"/>
      <c r="AS2" s="58"/>
      <c r="AT2" s="76"/>
      <c r="AU2" s="77"/>
      <c r="AV2" s="55"/>
      <c r="AW2" s="55"/>
      <c r="AX2" s="55"/>
      <c r="AY2" s="55"/>
      <c r="AZ2" s="55"/>
      <c r="BA2" s="59"/>
      <c r="BB2" s="60"/>
      <c r="BC2" s="60"/>
      <c r="BD2" s="60"/>
    </row>
    <row r="3" spans="1:56" s="48" customFormat="1" ht="12.75" customHeight="1">
      <c r="A3" s="25"/>
      <c r="B3" s="35"/>
      <c r="C3" s="36"/>
      <c r="D3" s="37"/>
      <c r="E3" s="25"/>
      <c r="F3" s="25"/>
      <c r="G3" s="25"/>
      <c r="H3" s="25"/>
      <c r="I3" s="29"/>
      <c r="J3" s="25"/>
      <c r="K3" s="25"/>
      <c r="L3" s="25"/>
      <c r="M3" s="25"/>
      <c r="N3" s="25"/>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8"/>
      <c r="AP3" s="2"/>
      <c r="AQ3" s="28"/>
      <c r="AR3" s="28"/>
      <c r="AS3" s="2"/>
      <c r="AT3" s="25"/>
      <c r="AU3" s="25"/>
      <c r="AV3" s="25"/>
      <c r="AW3" s="25"/>
      <c r="AX3" s="25"/>
      <c r="AY3" s="25"/>
      <c r="AZ3" s="25"/>
      <c r="BA3" s="26"/>
      <c r="BB3" s="3"/>
      <c r="BC3" s="3"/>
      <c r="BD3" s="3"/>
    </row>
    <row r="4" spans="1:56" s="48" customFormat="1" ht="12.75" customHeight="1">
      <c r="A4" s="66"/>
      <c r="B4" s="67"/>
      <c r="C4" s="68"/>
      <c r="D4" s="69"/>
      <c r="E4" s="66"/>
      <c r="F4" s="66"/>
      <c r="G4" s="66"/>
      <c r="H4" s="66"/>
      <c r="I4" s="70"/>
      <c r="J4" s="66"/>
      <c r="K4" s="66"/>
      <c r="L4" s="66"/>
      <c r="M4" s="66"/>
      <c r="N4" s="66"/>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1"/>
      <c r="AP4" s="72"/>
      <c r="AQ4" s="71"/>
      <c r="AR4" s="71"/>
      <c r="AS4" s="72"/>
      <c r="AT4" s="66"/>
      <c r="AU4" s="66"/>
      <c r="AV4" s="66"/>
      <c r="AW4" s="66"/>
      <c r="AX4" s="66"/>
      <c r="AY4" s="66"/>
      <c r="AZ4" s="66"/>
      <c r="BA4" s="73"/>
      <c r="BB4" s="74"/>
      <c r="BC4" s="75"/>
      <c r="BD4" s="75"/>
    </row>
    <row r="5" spans="1:56" s="49" customFormat="1" ht="44.25" customHeight="1">
      <c r="A5" s="30" t="s">
        <v>0</v>
      </c>
      <c r="B5" s="31" t="s">
        <v>1</v>
      </c>
      <c r="C5" s="31" t="s">
        <v>2</v>
      </c>
      <c r="D5" s="32" t="s">
        <v>3</v>
      </c>
      <c r="E5" s="32" t="s">
        <v>4</v>
      </c>
      <c r="F5" s="30" t="s">
        <v>5</v>
      </c>
      <c r="G5" s="30" t="s">
        <v>6</v>
      </c>
      <c r="H5" s="30" t="s">
        <v>7</v>
      </c>
      <c r="I5" s="30" t="s">
        <v>8</v>
      </c>
      <c r="J5" s="30" t="s">
        <v>9</v>
      </c>
      <c r="K5" s="30" t="s">
        <v>10</v>
      </c>
      <c r="L5" s="30" t="s">
        <v>11</v>
      </c>
      <c r="M5" s="30" t="s">
        <v>12</v>
      </c>
      <c r="N5" s="30" t="s">
        <v>13</v>
      </c>
      <c r="O5" s="33" t="s">
        <v>14</v>
      </c>
      <c r="P5" s="33" t="s">
        <v>15</v>
      </c>
      <c r="Q5" s="33" t="s">
        <v>16</v>
      </c>
      <c r="R5" s="33" t="s">
        <v>17</v>
      </c>
      <c r="S5" s="33" t="s">
        <v>18</v>
      </c>
      <c r="T5" s="33" t="s">
        <v>19</v>
      </c>
      <c r="U5" s="33" t="s">
        <v>20</v>
      </c>
      <c r="V5" s="33" t="s">
        <v>21</v>
      </c>
      <c r="W5" s="33" t="s">
        <v>22</v>
      </c>
      <c r="X5" s="33" t="s">
        <v>23</v>
      </c>
      <c r="Y5" s="33" t="s">
        <v>24</v>
      </c>
      <c r="Z5" s="33" t="s">
        <v>25</v>
      </c>
      <c r="AA5" s="33" t="s">
        <v>26</v>
      </c>
      <c r="AB5" s="33" t="s">
        <v>27</v>
      </c>
      <c r="AC5" s="33" t="s">
        <v>28</v>
      </c>
      <c r="AD5" s="33" t="s">
        <v>29</v>
      </c>
      <c r="AE5" s="33" t="s">
        <v>30</v>
      </c>
      <c r="AF5" s="33" t="s">
        <v>31</v>
      </c>
      <c r="AG5" s="33" t="s">
        <v>32</v>
      </c>
      <c r="AH5" s="33" t="s">
        <v>33</v>
      </c>
      <c r="AI5" s="33" t="s">
        <v>34</v>
      </c>
      <c r="AJ5" s="33" t="s">
        <v>35</v>
      </c>
      <c r="AK5" s="33" t="s">
        <v>36</v>
      </c>
      <c r="AL5" s="33" t="s">
        <v>37</v>
      </c>
      <c r="AM5" s="33" t="s">
        <v>38</v>
      </c>
      <c r="AN5" s="33" t="s">
        <v>39</v>
      </c>
      <c r="AO5" s="34" t="s">
        <v>40</v>
      </c>
      <c r="AP5" s="27"/>
      <c r="AQ5" s="34" t="s">
        <v>41</v>
      </c>
      <c r="AR5" s="34" t="s">
        <v>42</v>
      </c>
      <c r="AS5" s="22"/>
      <c r="AT5" s="38" t="s">
        <v>43</v>
      </c>
      <c r="AU5" s="38" t="s">
        <v>44</v>
      </c>
      <c r="AV5" s="38" t="s">
        <v>45</v>
      </c>
      <c r="AW5" s="30" t="s">
        <v>46</v>
      </c>
      <c r="AX5" s="38" t="s">
        <v>47</v>
      </c>
      <c r="AY5" s="38" t="s">
        <v>48</v>
      </c>
      <c r="AZ5" s="38" t="s">
        <v>49</v>
      </c>
      <c r="BA5" s="62" t="s">
        <v>50</v>
      </c>
      <c r="BB5" s="27"/>
      <c r="BC5" s="23"/>
      <c r="BD5" s="23"/>
    </row>
    <row r="6" spans="1:56" s="86" customFormat="1" ht="46.5" customHeight="1">
      <c r="A6" s="78">
        <v>1</v>
      </c>
      <c r="B6" s="79" t="s">
        <v>57</v>
      </c>
      <c r="C6" s="80">
        <v>45308</v>
      </c>
      <c r="D6" s="81">
        <v>0.3125</v>
      </c>
      <c r="E6" s="78" t="s">
        <v>58</v>
      </c>
      <c r="F6" s="78" t="s">
        <v>61</v>
      </c>
      <c r="G6" s="78" t="s">
        <v>62</v>
      </c>
      <c r="H6" s="79" t="s">
        <v>63</v>
      </c>
      <c r="I6" s="79" t="s">
        <v>64</v>
      </c>
      <c r="J6" s="78" t="s">
        <v>70</v>
      </c>
      <c r="K6" s="78" t="s">
        <v>71</v>
      </c>
      <c r="L6" s="79" t="s">
        <v>72</v>
      </c>
      <c r="M6" s="79" t="s">
        <v>72</v>
      </c>
      <c r="N6" s="79" t="s">
        <v>72</v>
      </c>
      <c r="O6" s="79" t="str">
        <f t="shared" ref="O6:O69" si="0">_xlfn.TEXTJOIN(", ",TRUE,$P6:$T6)</f>
        <v>Distrital</v>
      </c>
      <c r="P6" s="78" t="s">
        <v>73</v>
      </c>
      <c r="Q6" s="78"/>
      <c r="R6" s="78"/>
      <c r="S6" s="78"/>
      <c r="T6" s="78"/>
      <c r="U6" s="78"/>
      <c r="V6" s="79" t="str">
        <f t="shared" ref="V6:V69" si="1">_xlfn.TEXTJOIN(", ",TRUE,$W6:$AB6)</f>
        <v>Distrital</v>
      </c>
      <c r="W6" s="78" t="s">
        <v>73</v>
      </c>
      <c r="X6" s="78"/>
      <c r="Y6" s="78"/>
      <c r="Z6" s="78"/>
      <c r="AA6" s="78"/>
      <c r="AB6" s="78"/>
      <c r="AC6" s="79" t="str">
        <f t="shared" ref="AC6:AC69" si="2">_xlfn.TEXTJOIN(", ",TRUE,$AD6:$AM6)</f>
        <v>Distrital</v>
      </c>
      <c r="AD6" s="78" t="s">
        <v>73</v>
      </c>
      <c r="AE6" s="78"/>
      <c r="AF6" s="78"/>
      <c r="AG6" s="78"/>
      <c r="AH6" s="78"/>
      <c r="AI6" s="78"/>
      <c r="AJ6" s="78"/>
      <c r="AK6" s="78"/>
      <c r="AL6" s="78"/>
      <c r="AM6" s="78"/>
      <c r="AN6" s="79" t="s">
        <v>74</v>
      </c>
      <c r="AO6" s="79" t="s">
        <v>76</v>
      </c>
      <c r="AP6" s="82"/>
      <c r="AQ6" s="78" t="s">
        <v>60</v>
      </c>
      <c r="AR6" s="78" t="s">
        <v>77</v>
      </c>
      <c r="AS6" s="82"/>
      <c r="AT6" s="78">
        <v>137</v>
      </c>
      <c r="AU6" s="78">
        <v>10</v>
      </c>
      <c r="AV6" s="78">
        <f t="shared" ref="AV6:AV21" si="3">AT6+AU6</f>
        <v>147</v>
      </c>
      <c r="AW6" s="78" t="str">
        <f t="shared" ref="AW6:AW37" si="4">_xlfn.TEXTJOIN(", ",TRUE,$AX6:$AZ6)</f>
        <v>No Aplica</v>
      </c>
      <c r="AX6" s="78" t="s">
        <v>78</v>
      </c>
      <c r="AY6" s="78"/>
      <c r="AZ6" s="78"/>
      <c r="BA6" s="83" t="s">
        <v>79</v>
      </c>
      <c r="BB6" s="84"/>
      <c r="BC6" s="85"/>
      <c r="BD6" s="85"/>
    </row>
    <row r="7" spans="1:56" s="86" customFormat="1" ht="46.5" customHeight="1">
      <c r="A7" s="87">
        <v>2</v>
      </c>
      <c r="B7" s="79" t="s">
        <v>83</v>
      </c>
      <c r="C7" s="88">
        <v>45314</v>
      </c>
      <c r="D7" s="89">
        <v>0.58333333333333337</v>
      </c>
      <c r="E7" s="87" t="s">
        <v>58</v>
      </c>
      <c r="F7" s="87" t="s">
        <v>61</v>
      </c>
      <c r="G7" s="87" t="s">
        <v>62</v>
      </c>
      <c r="H7" s="90" t="s">
        <v>84</v>
      </c>
      <c r="I7" s="90" t="s">
        <v>64</v>
      </c>
      <c r="J7" s="87" t="s">
        <v>70</v>
      </c>
      <c r="K7" s="87" t="s">
        <v>71</v>
      </c>
      <c r="L7" s="90" t="s">
        <v>85</v>
      </c>
      <c r="M7" s="90" t="s">
        <v>72</v>
      </c>
      <c r="N7" s="90" t="s">
        <v>72</v>
      </c>
      <c r="O7" s="90" t="str">
        <f t="shared" si="0"/>
        <v>Distrital</v>
      </c>
      <c r="P7" s="87" t="s">
        <v>73</v>
      </c>
      <c r="Q7" s="87"/>
      <c r="R7" s="87"/>
      <c r="S7" s="87"/>
      <c r="T7" s="87"/>
      <c r="U7" s="87"/>
      <c r="V7" s="90" t="str">
        <f t="shared" si="1"/>
        <v>Distrital</v>
      </c>
      <c r="W7" s="87" t="s">
        <v>73</v>
      </c>
      <c r="X7" s="87"/>
      <c r="Y7" s="87"/>
      <c r="Z7" s="87"/>
      <c r="AA7" s="87"/>
      <c r="AB7" s="87"/>
      <c r="AC7" s="90" t="str">
        <f t="shared" si="2"/>
        <v>Distrital</v>
      </c>
      <c r="AD7" s="87" t="s">
        <v>73</v>
      </c>
      <c r="AE7" s="87"/>
      <c r="AF7" s="87"/>
      <c r="AG7" s="87"/>
      <c r="AH7" s="87"/>
      <c r="AI7" s="87"/>
      <c r="AJ7" s="87"/>
      <c r="AK7" s="87"/>
      <c r="AL7" s="87"/>
      <c r="AM7" s="87"/>
      <c r="AN7" s="90" t="s">
        <v>74</v>
      </c>
      <c r="AO7" s="90" t="s">
        <v>72</v>
      </c>
      <c r="AP7" s="82"/>
      <c r="AQ7" s="87" t="s">
        <v>60</v>
      </c>
      <c r="AR7" s="87" t="s">
        <v>77</v>
      </c>
      <c r="AS7" s="82"/>
      <c r="AT7" s="87">
        <v>5</v>
      </c>
      <c r="AU7" s="87">
        <v>3</v>
      </c>
      <c r="AV7" s="87">
        <f t="shared" si="3"/>
        <v>8</v>
      </c>
      <c r="AW7" s="87" t="str">
        <f t="shared" si="4"/>
        <v>No Aplica</v>
      </c>
      <c r="AX7" s="87" t="s">
        <v>78</v>
      </c>
      <c r="AY7" s="87"/>
      <c r="AZ7" s="87"/>
      <c r="BA7" s="91" t="s">
        <v>86</v>
      </c>
      <c r="BB7" s="84"/>
      <c r="BC7" s="85"/>
      <c r="BD7" s="85"/>
    </row>
    <row r="8" spans="1:56" s="86" customFormat="1" ht="46.5" customHeight="1">
      <c r="A8" s="78">
        <v>3</v>
      </c>
      <c r="B8" s="79" t="s">
        <v>88</v>
      </c>
      <c r="C8" s="88">
        <v>45315</v>
      </c>
      <c r="D8" s="89">
        <v>0.375</v>
      </c>
      <c r="E8" s="87" t="s">
        <v>58</v>
      </c>
      <c r="F8" s="87" t="s">
        <v>61</v>
      </c>
      <c r="G8" s="87" t="s">
        <v>62</v>
      </c>
      <c r="H8" s="90" t="s">
        <v>89</v>
      </c>
      <c r="I8" s="90" t="s">
        <v>64</v>
      </c>
      <c r="J8" s="87" t="s">
        <v>70</v>
      </c>
      <c r="K8" s="87" t="s">
        <v>71</v>
      </c>
      <c r="L8" s="90" t="s">
        <v>72</v>
      </c>
      <c r="M8" s="90" t="s">
        <v>72</v>
      </c>
      <c r="N8" s="90" t="s">
        <v>72</v>
      </c>
      <c r="O8" s="90" t="str">
        <f t="shared" si="0"/>
        <v>Distrital</v>
      </c>
      <c r="P8" s="87" t="s">
        <v>73</v>
      </c>
      <c r="Q8" s="87"/>
      <c r="R8" s="87"/>
      <c r="S8" s="87"/>
      <c r="T8" s="87"/>
      <c r="U8" s="87"/>
      <c r="V8" s="90" t="str">
        <f t="shared" si="1"/>
        <v>Distrital</v>
      </c>
      <c r="W8" s="87" t="s">
        <v>73</v>
      </c>
      <c r="X8" s="87"/>
      <c r="Y8" s="87"/>
      <c r="Z8" s="87"/>
      <c r="AA8" s="87"/>
      <c r="AB8" s="87"/>
      <c r="AC8" s="90" t="str">
        <f t="shared" si="2"/>
        <v>Distrital</v>
      </c>
      <c r="AD8" s="87" t="s">
        <v>73</v>
      </c>
      <c r="AE8" s="87"/>
      <c r="AF8" s="87"/>
      <c r="AG8" s="87"/>
      <c r="AH8" s="87"/>
      <c r="AI8" s="87"/>
      <c r="AJ8" s="87"/>
      <c r="AK8" s="87"/>
      <c r="AL8" s="87"/>
      <c r="AM8" s="87"/>
      <c r="AN8" s="90" t="s">
        <v>74</v>
      </c>
      <c r="AO8" s="90" t="s">
        <v>91</v>
      </c>
      <c r="AP8" s="82"/>
      <c r="AQ8" s="87" t="s">
        <v>60</v>
      </c>
      <c r="AR8" s="87" t="s">
        <v>77</v>
      </c>
      <c r="AS8" s="82"/>
      <c r="AT8" s="87">
        <v>16</v>
      </c>
      <c r="AU8" s="87">
        <v>9</v>
      </c>
      <c r="AV8" s="87">
        <f t="shared" si="3"/>
        <v>25</v>
      </c>
      <c r="AW8" s="87" t="str">
        <f t="shared" si="4"/>
        <v>No Aplica</v>
      </c>
      <c r="AX8" s="87" t="s">
        <v>78</v>
      </c>
      <c r="AY8" s="87"/>
      <c r="AZ8" s="87"/>
      <c r="BA8" s="91" t="s">
        <v>79</v>
      </c>
      <c r="BB8" s="84"/>
      <c r="BC8" s="85"/>
      <c r="BD8" s="85"/>
    </row>
    <row r="9" spans="1:56" s="86" customFormat="1" ht="46.5" customHeight="1">
      <c r="A9" s="87">
        <v>4</v>
      </c>
      <c r="B9" s="79" t="s">
        <v>92</v>
      </c>
      <c r="C9" s="88">
        <v>45316</v>
      </c>
      <c r="D9" s="89">
        <v>0.64583333333333337</v>
      </c>
      <c r="E9" s="87" t="s">
        <v>93</v>
      </c>
      <c r="F9" s="87" t="s">
        <v>94</v>
      </c>
      <c r="G9" s="87" t="s">
        <v>95</v>
      </c>
      <c r="H9" s="90" t="s">
        <v>96</v>
      </c>
      <c r="I9" s="90" t="s">
        <v>64</v>
      </c>
      <c r="J9" s="87" t="s">
        <v>70</v>
      </c>
      <c r="K9" s="87" t="s">
        <v>97</v>
      </c>
      <c r="L9" s="90" t="s">
        <v>98</v>
      </c>
      <c r="M9" s="91" t="s">
        <v>99</v>
      </c>
      <c r="N9" s="90" t="s">
        <v>99</v>
      </c>
      <c r="O9" s="90" t="str">
        <f t="shared" si="0"/>
        <v>Distrital</v>
      </c>
      <c r="P9" s="87" t="s">
        <v>73</v>
      </c>
      <c r="Q9" s="87"/>
      <c r="R9" s="87"/>
      <c r="S9" s="87"/>
      <c r="T9" s="87"/>
      <c r="U9" s="87"/>
      <c r="V9" s="90" t="str">
        <f t="shared" si="1"/>
        <v>Distrital</v>
      </c>
      <c r="W9" s="87" t="s">
        <v>73</v>
      </c>
      <c r="X9" s="87"/>
      <c r="Y9" s="87"/>
      <c r="Z9" s="87"/>
      <c r="AA9" s="87"/>
      <c r="AB9" s="87"/>
      <c r="AC9" s="90" t="str">
        <f t="shared" si="2"/>
        <v>Distrital</v>
      </c>
      <c r="AD9" s="87" t="s">
        <v>73</v>
      </c>
      <c r="AE9" s="87"/>
      <c r="AF9" s="87"/>
      <c r="AG9" s="87"/>
      <c r="AH9" s="87"/>
      <c r="AI9" s="87"/>
      <c r="AJ9" s="87"/>
      <c r="AK9" s="87"/>
      <c r="AL9" s="87"/>
      <c r="AM9" s="87"/>
      <c r="AN9" s="90" t="s">
        <v>74</v>
      </c>
      <c r="AO9" s="90" t="s">
        <v>72</v>
      </c>
      <c r="AP9" s="82"/>
      <c r="AQ9" s="87" t="s">
        <v>60</v>
      </c>
      <c r="AR9" s="87" t="s">
        <v>77</v>
      </c>
      <c r="AS9" s="82"/>
      <c r="AT9" s="87">
        <v>5</v>
      </c>
      <c r="AU9" s="87">
        <v>3</v>
      </c>
      <c r="AV9" s="87">
        <f t="shared" si="3"/>
        <v>8</v>
      </c>
      <c r="AW9" s="87" t="str">
        <f t="shared" si="4"/>
        <v>No Aplica</v>
      </c>
      <c r="AX9" s="87" t="s">
        <v>78</v>
      </c>
      <c r="AY9" s="87"/>
      <c r="AZ9" s="87"/>
      <c r="BA9" s="91" t="s">
        <v>100</v>
      </c>
      <c r="BB9" s="84"/>
      <c r="BC9" s="85"/>
      <c r="BD9" s="85"/>
    </row>
    <row r="10" spans="1:56" s="86" customFormat="1" ht="46.5" customHeight="1">
      <c r="A10" s="78">
        <v>5</v>
      </c>
      <c r="B10" s="79" t="s">
        <v>101</v>
      </c>
      <c r="C10" s="88">
        <v>45317</v>
      </c>
      <c r="D10" s="89">
        <v>0.375</v>
      </c>
      <c r="E10" s="87" t="s">
        <v>93</v>
      </c>
      <c r="F10" s="87" t="s">
        <v>102</v>
      </c>
      <c r="G10" s="87" t="s">
        <v>62</v>
      </c>
      <c r="H10" s="90" t="s">
        <v>103</v>
      </c>
      <c r="I10" s="90" t="s">
        <v>64</v>
      </c>
      <c r="J10" s="87" t="s">
        <v>70</v>
      </c>
      <c r="K10" s="87" t="s">
        <v>104</v>
      </c>
      <c r="L10" s="90" t="s">
        <v>105</v>
      </c>
      <c r="M10" s="91">
        <v>6077799280</v>
      </c>
      <c r="N10" s="90" t="s">
        <v>106</v>
      </c>
      <c r="O10" s="90" t="str">
        <f t="shared" si="0"/>
        <v>Ciudad Bolívar</v>
      </c>
      <c r="P10" s="87" t="s">
        <v>107</v>
      </c>
      <c r="Q10" s="87"/>
      <c r="R10" s="87"/>
      <c r="S10" s="87"/>
      <c r="T10" s="87"/>
      <c r="U10" s="87"/>
      <c r="V10" s="90" t="str">
        <f t="shared" si="1"/>
        <v>Suroriente, Ruralidad</v>
      </c>
      <c r="W10" s="87" t="s">
        <v>108</v>
      </c>
      <c r="X10" s="87" t="s">
        <v>109</v>
      </c>
      <c r="Y10" s="87"/>
      <c r="Z10" s="87"/>
      <c r="AA10" s="87"/>
      <c r="AB10" s="87"/>
      <c r="AC10" s="90" t="str">
        <f t="shared" si="2"/>
        <v>Arborizadora, Lucero, Cuenca del Tunjuelo</v>
      </c>
      <c r="AD10" s="87" t="s">
        <v>110</v>
      </c>
      <c r="AE10" s="87" t="s">
        <v>111</v>
      </c>
      <c r="AF10" s="87" t="s">
        <v>112</v>
      </c>
      <c r="AG10" s="87"/>
      <c r="AH10" s="87"/>
      <c r="AI10" s="87"/>
      <c r="AJ10" s="87"/>
      <c r="AK10" s="87"/>
      <c r="AL10" s="87"/>
      <c r="AM10" s="87"/>
      <c r="AN10" s="90" t="s">
        <v>74</v>
      </c>
      <c r="AO10" s="90" t="s">
        <v>113</v>
      </c>
      <c r="AP10" s="82"/>
      <c r="AQ10" s="87" t="s">
        <v>59</v>
      </c>
      <c r="AR10" s="87" t="s">
        <v>80</v>
      </c>
      <c r="AS10" s="82"/>
      <c r="AT10" s="87">
        <v>11</v>
      </c>
      <c r="AU10" s="87">
        <v>2</v>
      </c>
      <c r="AV10" s="87">
        <f t="shared" si="3"/>
        <v>13</v>
      </c>
      <c r="AW10" s="87" t="str">
        <f t="shared" si="4"/>
        <v>No Aplica</v>
      </c>
      <c r="AX10" s="87" t="s">
        <v>78</v>
      </c>
      <c r="AY10" s="87"/>
      <c r="AZ10" s="87"/>
      <c r="BA10" s="91" t="s">
        <v>114</v>
      </c>
      <c r="BB10" s="84"/>
      <c r="BC10" s="85"/>
      <c r="BD10" s="85"/>
    </row>
    <row r="11" spans="1:56" s="86" customFormat="1" ht="46.5" customHeight="1">
      <c r="A11" s="87">
        <v>6</v>
      </c>
      <c r="B11" s="79" t="s">
        <v>115</v>
      </c>
      <c r="C11" s="88">
        <v>45317</v>
      </c>
      <c r="D11" s="89">
        <v>0.375</v>
      </c>
      <c r="E11" s="87" t="s">
        <v>58</v>
      </c>
      <c r="F11" s="87" t="s">
        <v>116</v>
      </c>
      <c r="G11" s="87" t="s">
        <v>62</v>
      </c>
      <c r="H11" s="90" t="s">
        <v>117</v>
      </c>
      <c r="I11" s="90" t="s">
        <v>118</v>
      </c>
      <c r="J11" s="87" t="s">
        <v>119</v>
      </c>
      <c r="K11" s="87" t="s">
        <v>120</v>
      </c>
      <c r="L11" s="90" t="s">
        <v>121</v>
      </c>
      <c r="M11" s="91">
        <v>3228657280</v>
      </c>
      <c r="N11" s="90" t="s">
        <v>122</v>
      </c>
      <c r="O11" s="90" t="str">
        <f t="shared" si="0"/>
        <v>Engativá</v>
      </c>
      <c r="P11" s="87" t="s">
        <v>123</v>
      </c>
      <c r="Q11" s="87"/>
      <c r="R11" s="87"/>
      <c r="S11" s="87"/>
      <c r="T11" s="87"/>
      <c r="U11" s="87"/>
      <c r="V11" s="90" t="str">
        <f t="shared" si="1"/>
        <v>Occidente</v>
      </c>
      <c r="W11" s="87" t="s">
        <v>124</v>
      </c>
      <c r="X11" s="87"/>
      <c r="Y11" s="87"/>
      <c r="Z11" s="87"/>
      <c r="AA11" s="87"/>
      <c r="AB11" s="87"/>
      <c r="AC11" s="90" t="str">
        <f t="shared" si="2"/>
        <v>Engativá</v>
      </c>
      <c r="AD11" s="87" t="s">
        <v>123</v>
      </c>
      <c r="AE11" s="87"/>
      <c r="AF11" s="87"/>
      <c r="AG11" s="87"/>
      <c r="AH11" s="87"/>
      <c r="AI11" s="87"/>
      <c r="AJ11" s="87"/>
      <c r="AK11" s="87"/>
      <c r="AL11" s="87"/>
      <c r="AM11" s="87"/>
      <c r="AN11" s="90" t="s">
        <v>74</v>
      </c>
      <c r="AO11" s="90" t="s">
        <v>91</v>
      </c>
      <c r="AP11" s="82"/>
      <c r="AQ11" s="87" t="s">
        <v>59</v>
      </c>
      <c r="AR11" s="87" t="s">
        <v>80</v>
      </c>
      <c r="AS11" s="82"/>
      <c r="AT11" s="87">
        <v>7</v>
      </c>
      <c r="AU11" s="87">
        <v>5</v>
      </c>
      <c r="AV11" s="87">
        <f t="shared" si="3"/>
        <v>12</v>
      </c>
      <c r="AW11" s="87" t="str">
        <f t="shared" si="4"/>
        <v>No Aplica</v>
      </c>
      <c r="AX11" s="87" t="s">
        <v>78</v>
      </c>
      <c r="AY11" s="87"/>
      <c r="AZ11" s="87"/>
      <c r="BA11" s="91" t="s">
        <v>125</v>
      </c>
      <c r="BB11" s="84"/>
      <c r="BC11" s="85"/>
      <c r="BD11" s="85"/>
    </row>
    <row r="12" spans="1:56" s="86" customFormat="1" ht="46.5" customHeight="1">
      <c r="A12" s="78">
        <v>7</v>
      </c>
      <c r="B12" s="79" t="s">
        <v>126</v>
      </c>
      <c r="C12" s="88">
        <v>45317</v>
      </c>
      <c r="D12" s="89">
        <v>0.60416666666666663</v>
      </c>
      <c r="E12" s="87" t="s">
        <v>93</v>
      </c>
      <c r="F12" s="87" t="s">
        <v>102</v>
      </c>
      <c r="G12" s="87" t="s">
        <v>62</v>
      </c>
      <c r="H12" s="90" t="s">
        <v>127</v>
      </c>
      <c r="I12" s="90" t="s">
        <v>128</v>
      </c>
      <c r="J12" s="87" t="s">
        <v>119</v>
      </c>
      <c r="K12" s="87" t="s">
        <v>129</v>
      </c>
      <c r="L12" s="90" t="s">
        <v>130</v>
      </c>
      <c r="M12" s="91">
        <v>3102122010</v>
      </c>
      <c r="N12" s="90" t="s">
        <v>131</v>
      </c>
      <c r="O12" s="90" t="str">
        <f t="shared" si="0"/>
        <v>Distrital</v>
      </c>
      <c r="P12" s="87" t="s">
        <v>73</v>
      </c>
      <c r="Q12" s="87"/>
      <c r="R12" s="87"/>
      <c r="S12" s="87"/>
      <c r="T12" s="87"/>
      <c r="U12" s="87"/>
      <c r="V12" s="90" t="str">
        <f t="shared" si="1"/>
        <v>Distrital</v>
      </c>
      <c r="W12" s="87" t="s">
        <v>73</v>
      </c>
      <c r="X12" s="87"/>
      <c r="Y12" s="87"/>
      <c r="Z12" s="87"/>
      <c r="AA12" s="87"/>
      <c r="AB12" s="87"/>
      <c r="AC12" s="90" t="str">
        <f t="shared" si="2"/>
        <v>Distrital</v>
      </c>
      <c r="AD12" s="87" t="s">
        <v>73</v>
      </c>
      <c r="AE12" s="87"/>
      <c r="AF12" s="87"/>
      <c r="AG12" s="87"/>
      <c r="AH12" s="87"/>
      <c r="AI12" s="87"/>
      <c r="AJ12" s="87"/>
      <c r="AK12" s="87"/>
      <c r="AL12" s="87"/>
      <c r="AM12" s="87"/>
      <c r="AN12" s="90" t="s">
        <v>74</v>
      </c>
      <c r="AO12" s="90" t="s">
        <v>132</v>
      </c>
      <c r="AP12" s="82"/>
      <c r="AQ12" s="87" t="s">
        <v>59</v>
      </c>
      <c r="AR12" s="87" t="s">
        <v>80</v>
      </c>
      <c r="AS12" s="82"/>
      <c r="AT12" s="87">
        <v>9</v>
      </c>
      <c r="AU12" s="87">
        <v>4</v>
      </c>
      <c r="AV12" s="87">
        <f t="shared" si="3"/>
        <v>13</v>
      </c>
      <c r="AW12" s="87" t="str">
        <f t="shared" si="4"/>
        <v>No Aplica</v>
      </c>
      <c r="AX12" s="87" t="s">
        <v>78</v>
      </c>
      <c r="AY12" s="87"/>
      <c r="AZ12" s="87"/>
      <c r="BA12" s="91" t="s">
        <v>133</v>
      </c>
      <c r="BB12" s="84"/>
      <c r="BC12" s="85"/>
      <c r="BD12" s="85"/>
    </row>
    <row r="13" spans="1:56" s="86" customFormat="1" ht="46.5" customHeight="1">
      <c r="A13" s="87">
        <v>8</v>
      </c>
      <c r="B13" s="79" t="s">
        <v>134</v>
      </c>
      <c r="C13" s="88">
        <v>45322</v>
      </c>
      <c r="D13" s="89">
        <v>0.33333333333333331</v>
      </c>
      <c r="E13" s="87" t="s">
        <v>58</v>
      </c>
      <c r="F13" s="87" t="s">
        <v>135</v>
      </c>
      <c r="G13" s="87" t="s">
        <v>62</v>
      </c>
      <c r="H13" s="90" t="s">
        <v>136</v>
      </c>
      <c r="I13" s="90" t="s">
        <v>64</v>
      </c>
      <c r="J13" s="87" t="s">
        <v>70</v>
      </c>
      <c r="K13" s="87" t="s">
        <v>71</v>
      </c>
      <c r="L13" s="90" t="s">
        <v>72</v>
      </c>
      <c r="M13" s="90" t="s">
        <v>72</v>
      </c>
      <c r="N13" s="90" t="s">
        <v>72</v>
      </c>
      <c r="O13" s="90" t="str">
        <f t="shared" si="0"/>
        <v>Distrital</v>
      </c>
      <c r="P13" s="87" t="s">
        <v>73</v>
      </c>
      <c r="Q13" s="87"/>
      <c r="R13" s="87"/>
      <c r="S13" s="87"/>
      <c r="T13" s="87"/>
      <c r="U13" s="87"/>
      <c r="V13" s="90" t="str">
        <f t="shared" si="1"/>
        <v>Distrital</v>
      </c>
      <c r="W13" s="87" t="s">
        <v>73</v>
      </c>
      <c r="X13" s="87"/>
      <c r="Y13" s="87"/>
      <c r="Z13" s="87"/>
      <c r="AA13" s="87"/>
      <c r="AB13" s="87"/>
      <c r="AC13" s="90" t="str">
        <f t="shared" si="2"/>
        <v>Distrital</v>
      </c>
      <c r="AD13" s="87" t="s">
        <v>73</v>
      </c>
      <c r="AE13" s="87"/>
      <c r="AF13" s="87"/>
      <c r="AG13" s="87"/>
      <c r="AH13" s="87"/>
      <c r="AI13" s="87"/>
      <c r="AJ13" s="87"/>
      <c r="AK13" s="87"/>
      <c r="AL13" s="87"/>
      <c r="AM13" s="87"/>
      <c r="AN13" s="90" t="s">
        <v>74</v>
      </c>
      <c r="AO13" s="90" t="s">
        <v>138</v>
      </c>
      <c r="AP13" s="82"/>
      <c r="AQ13" s="87" t="s">
        <v>59</v>
      </c>
      <c r="AR13" s="87" t="s">
        <v>80</v>
      </c>
      <c r="AS13" s="82"/>
      <c r="AT13" s="87">
        <v>0</v>
      </c>
      <c r="AU13" s="87">
        <v>73</v>
      </c>
      <c r="AV13" s="87">
        <f t="shared" si="3"/>
        <v>73</v>
      </c>
      <c r="AW13" s="87" t="str">
        <f t="shared" si="4"/>
        <v>No Aplica</v>
      </c>
      <c r="AX13" s="87" t="s">
        <v>78</v>
      </c>
      <c r="AY13" s="87"/>
      <c r="AZ13" s="87"/>
      <c r="BA13" s="91" t="s">
        <v>139</v>
      </c>
      <c r="BB13" s="84"/>
      <c r="BC13" s="85"/>
      <c r="BD13" s="85"/>
    </row>
    <row r="14" spans="1:56" s="86" customFormat="1" ht="46.5" customHeight="1">
      <c r="A14" s="78">
        <v>9</v>
      </c>
      <c r="B14" s="79" t="s">
        <v>140</v>
      </c>
      <c r="C14" s="88">
        <v>45322</v>
      </c>
      <c r="D14" s="89">
        <v>0.60416666666666663</v>
      </c>
      <c r="E14" s="87" t="s">
        <v>58</v>
      </c>
      <c r="F14" s="87" t="s">
        <v>61</v>
      </c>
      <c r="G14" s="87" t="s">
        <v>62</v>
      </c>
      <c r="H14" s="90" t="s">
        <v>141</v>
      </c>
      <c r="I14" s="90" t="s">
        <v>64</v>
      </c>
      <c r="J14" s="87" t="s">
        <v>70</v>
      </c>
      <c r="K14" s="87" t="s">
        <v>71</v>
      </c>
      <c r="L14" s="90" t="s">
        <v>72</v>
      </c>
      <c r="M14" s="90" t="s">
        <v>72</v>
      </c>
      <c r="N14" s="90" t="s">
        <v>72</v>
      </c>
      <c r="O14" s="90" t="str">
        <f t="shared" si="0"/>
        <v>Distrital</v>
      </c>
      <c r="P14" s="87" t="s">
        <v>73</v>
      </c>
      <c r="Q14" s="87"/>
      <c r="R14" s="87"/>
      <c r="S14" s="87"/>
      <c r="T14" s="87"/>
      <c r="U14" s="87"/>
      <c r="V14" s="90" t="str">
        <f t="shared" si="1"/>
        <v>Distrital</v>
      </c>
      <c r="W14" s="87" t="s">
        <v>73</v>
      </c>
      <c r="X14" s="87"/>
      <c r="Y14" s="87"/>
      <c r="Z14" s="87"/>
      <c r="AA14" s="87"/>
      <c r="AB14" s="87"/>
      <c r="AC14" s="90" t="str">
        <f t="shared" si="2"/>
        <v>Distrital</v>
      </c>
      <c r="AD14" s="87" t="s">
        <v>73</v>
      </c>
      <c r="AE14" s="87"/>
      <c r="AF14" s="87"/>
      <c r="AG14" s="87"/>
      <c r="AH14" s="87"/>
      <c r="AI14" s="87"/>
      <c r="AJ14" s="87"/>
      <c r="AK14" s="87"/>
      <c r="AL14" s="87"/>
      <c r="AM14" s="87"/>
      <c r="AN14" s="90" t="s">
        <v>74</v>
      </c>
      <c r="AO14" s="90" t="s">
        <v>91</v>
      </c>
      <c r="AP14" s="82"/>
      <c r="AQ14" s="87" t="s">
        <v>60</v>
      </c>
      <c r="AR14" s="87" t="s">
        <v>77</v>
      </c>
      <c r="AS14" s="82"/>
      <c r="AT14" s="87">
        <v>0</v>
      </c>
      <c r="AU14" s="87">
        <v>6</v>
      </c>
      <c r="AV14" s="87">
        <f t="shared" si="3"/>
        <v>6</v>
      </c>
      <c r="AW14" s="87" t="str">
        <f t="shared" si="4"/>
        <v>No Aplica</v>
      </c>
      <c r="AX14" s="87" t="s">
        <v>78</v>
      </c>
      <c r="AY14" s="87"/>
      <c r="AZ14" s="87"/>
      <c r="BA14" s="91" t="s">
        <v>142</v>
      </c>
      <c r="BB14" s="84"/>
      <c r="BC14" s="85"/>
      <c r="BD14" s="85"/>
    </row>
    <row r="15" spans="1:56" s="86" customFormat="1" ht="46.5" customHeight="1">
      <c r="A15" s="87">
        <v>10</v>
      </c>
      <c r="B15" s="79" t="s">
        <v>143</v>
      </c>
      <c r="C15" s="88">
        <v>45322</v>
      </c>
      <c r="D15" s="89">
        <v>0.66666666666666663</v>
      </c>
      <c r="E15" s="87" t="s">
        <v>58</v>
      </c>
      <c r="F15" s="87" t="s">
        <v>61</v>
      </c>
      <c r="G15" s="87" t="s">
        <v>95</v>
      </c>
      <c r="H15" s="90" t="s">
        <v>144</v>
      </c>
      <c r="I15" s="90" t="s">
        <v>64</v>
      </c>
      <c r="J15" s="87" t="s">
        <v>70</v>
      </c>
      <c r="K15" s="87" t="s">
        <v>71</v>
      </c>
      <c r="L15" s="90" t="s">
        <v>72</v>
      </c>
      <c r="M15" s="90" t="s">
        <v>72</v>
      </c>
      <c r="N15" s="90" t="s">
        <v>72</v>
      </c>
      <c r="O15" s="90" t="str">
        <f t="shared" si="0"/>
        <v>Distrital</v>
      </c>
      <c r="P15" s="87" t="s">
        <v>73</v>
      </c>
      <c r="Q15" s="87"/>
      <c r="R15" s="87"/>
      <c r="S15" s="87"/>
      <c r="T15" s="87"/>
      <c r="U15" s="87"/>
      <c r="V15" s="90" t="str">
        <f t="shared" si="1"/>
        <v>Distrital</v>
      </c>
      <c r="W15" s="87" t="s">
        <v>73</v>
      </c>
      <c r="X15" s="87"/>
      <c r="Y15" s="87"/>
      <c r="Z15" s="87"/>
      <c r="AA15" s="87"/>
      <c r="AB15" s="87"/>
      <c r="AC15" s="90" t="str">
        <f t="shared" si="2"/>
        <v>Distrital</v>
      </c>
      <c r="AD15" s="87" t="s">
        <v>73</v>
      </c>
      <c r="AE15" s="87"/>
      <c r="AF15" s="87"/>
      <c r="AG15" s="87"/>
      <c r="AH15" s="87"/>
      <c r="AI15" s="87"/>
      <c r="AJ15" s="87"/>
      <c r="AK15" s="87"/>
      <c r="AL15" s="87"/>
      <c r="AM15" s="87"/>
      <c r="AN15" s="90" t="s">
        <v>74</v>
      </c>
      <c r="AO15" s="92" t="s">
        <v>146</v>
      </c>
      <c r="AP15" s="82"/>
      <c r="AQ15" s="87" t="s">
        <v>60</v>
      </c>
      <c r="AR15" s="87" t="s">
        <v>77</v>
      </c>
      <c r="AS15" s="82"/>
      <c r="AT15" s="87">
        <v>157</v>
      </c>
      <c r="AU15" s="87">
        <v>1</v>
      </c>
      <c r="AV15" s="87">
        <f t="shared" si="3"/>
        <v>158</v>
      </c>
      <c r="AW15" s="87" t="str">
        <f t="shared" si="4"/>
        <v>No Aplica</v>
      </c>
      <c r="AX15" s="87" t="s">
        <v>78</v>
      </c>
      <c r="AY15" s="87"/>
      <c r="AZ15" s="87"/>
      <c r="BA15" s="91" t="s">
        <v>147</v>
      </c>
      <c r="BB15" s="84"/>
      <c r="BC15" s="85"/>
      <c r="BD15" s="85"/>
    </row>
    <row r="16" spans="1:56" s="86" customFormat="1" ht="46.5" customHeight="1">
      <c r="A16" s="78">
        <v>11</v>
      </c>
      <c r="B16" s="79" t="s">
        <v>148</v>
      </c>
      <c r="C16" s="88">
        <v>45324</v>
      </c>
      <c r="D16" s="89">
        <v>0.33333333333333331</v>
      </c>
      <c r="E16" s="87" t="s">
        <v>93</v>
      </c>
      <c r="F16" s="87" t="s">
        <v>149</v>
      </c>
      <c r="G16" s="87" t="s">
        <v>62</v>
      </c>
      <c r="H16" s="90" t="s">
        <v>150</v>
      </c>
      <c r="I16" s="90" t="s">
        <v>64</v>
      </c>
      <c r="J16" s="87" t="s">
        <v>70</v>
      </c>
      <c r="K16" s="87" t="s">
        <v>71</v>
      </c>
      <c r="L16" s="90" t="s">
        <v>72</v>
      </c>
      <c r="M16" s="90" t="s">
        <v>72</v>
      </c>
      <c r="N16" s="90" t="s">
        <v>72</v>
      </c>
      <c r="O16" s="90" t="str">
        <f t="shared" si="0"/>
        <v>Distrital</v>
      </c>
      <c r="P16" s="87" t="s">
        <v>73</v>
      </c>
      <c r="Q16" s="87"/>
      <c r="R16" s="87"/>
      <c r="S16" s="87"/>
      <c r="T16" s="87"/>
      <c r="U16" s="87"/>
      <c r="V16" s="90" t="str">
        <f t="shared" si="1"/>
        <v>Distrital</v>
      </c>
      <c r="W16" s="87" t="s">
        <v>73</v>
      </c>
      <c r="X16" s="87"/>
      <c r="Y16" s="87"/>
      <c r="Z16" s="87"/>
      <c r="AA16" s="87"/>
      <c r="AB16" s="87"/>
      <c r="AC16" s="90" t="str">
        <f t="shared" si="2"/>
        <v>Distrital</v>
      </c>
      <c r="AD16" s="87" t="s">
        <v>73</v>
      </c>
      <c r="AE16" s="87"/>
      <c r="AF16" s="87"/>
      <c r="AG16" s="87"/>
      <c r="AH16" s="87"/>
      <c r="AI16" s="87"/>
      <c r="AJ16" s="87"/>
      <c r="AK16" s="87"/>
      <c r="AL16" s="87"/>
      <c r="AM16" s="87"/>
      <c r="AN16" s="90" t="s">
        <v>74</v>
      </c>
      <c r="AO16" s="90"/>
      <c r="AP16" s="82"/>
      <c r="AQ16" s="87" t="s">
        <v>59</v>
      </c>
      <c r="AR16" s="87" t="s">
        <v>80</v>
      </c>
      <c r="AS16" s="82"/>
      <c r="AT16" s="87">
        <v>0</v>
      </c>
      <c r="AU16" s="87">
        <v>3</v>
      </c>
      <c r="AV16" s="87">
        <f t="shared" si="3"/>
        <v>3</v>
      </c>
      <c r="AW16" s="87" t="str">
        <f t="shared" si="4"/>
        <v>No Aplica</v>
      </c>
      <c r="AX16" s="87" t="s">
        <v>78</v>
      </c>
      <c r="AY16" s="87"/>
      <c r="AZ16" s="87"/>
      <c r="BA16" s="91" t="s">
        <v>151</v>
      </c>
      <c r="BB16" s="84"/>
      <c r="BC16" s="85"/>
      <c r="BD16" s="85"/>
    </row>
    <row r="17" spans="1:56" s="86" customFormat="1" ht="46.5" customHeight="1">
      <c r="A17" s="87">
        <v>12</v>
      </c>
      <c r="B17" s="79" t="s">
        <v>152</v>
      </c>
      <c r="C17" s="88">
        <v>45327</v>
      </c>
      <c r="D17" s="89">
        <v>0.45833333333333331</v>
      </c>
      <c r="E17" s="87" t="s">
        <v>58</v>
      </c>
      <c r="F17" s="87" t="s">
        <v>61</v>
      </c>
      <c r="G17" s="87" t="s">
        <v>62</v>
      </c>
      <c r="H17" s="90" t="s">
        <v>153</v>
      </c>
      <c r="I17" s="90" t="s">
        <v>64</v>
      </c>
      <c r="J17" s="87" t="s">
        <v>70</v>
      </c>
      <c r="K17" s="87" t="s">
        <v>71</v>
      </c>
      <c r="L17" s="90" t="s">
        <v>154</v>
      </c>
      <c r="M17" s="91">
        <v>3112744489</v>
      </c>
      <c r="N17" s="90" t="s">
        <v>72</v>
      </c>
      <c r="O17" s="90" t="str">
        <f t="shared" si="0"/>
        <v>Distrital</v>
      </c>
      <c r="P17" s="87" t="s">
        <v>73</v>
      </c>
      <c r="Q17" s="87"/>
      <c r="R17" s="87"/>
      <c r="S17" s="87"/>
      <c r="T17" s="87"/>
      <c r="U17" s="87"/>
      <c r="V17" s="90" t="str">
        <f t="shared" si="1"/>
        <v>Distrital</v>
      </c>
      <c r="W17" s="87" t="s">
        <v>73</v>
      </c>
      <c r="X17" s="87"/>
      <c r="Y17" s="87"/>
      <c r="Z17" s="87"/>
      <c r="AA17" s="87"/>
      <c r="AB17" s="87"/>
      <c r="AC17" s="90" t="str">
        <f t="shared" si="2"/>
        <v>Distrital</v>
      </c>
      <c r="AD17" s="87" t="s">
        <v>73</v>
      </c>
      <c r="AE17" s="87"/>
      <c r="AF17" s="87"/>
      <c r="AG17" s="87"/>
      <c r="AH17" s="87"/>
      <c r="AI17" s="87"/>
      <c r="AJ17" s="87"/>
      <c r="AK17" s="87"/>
      <c r="AL17" s="87"/>
      <c r="AM17" s="87"/>
      <c r="AN17" s="90" t="s">
        <v>74</v>
      </c>
      <c r="AO17" s="90" t="s">
        <v>155</v>
      </c>
      <c r="AP17" s="82"/>
      <c r="AQ17" s="87" t="s">
        <v>60</v>
      </c>
      <c r="AR17" s="87" t="s">
        <v>77</v>
      </c>
      <c r="AS17" s="82"/>
      <c r="AT17" s="87">
        <v>5</v>
      </c>
      <c r="AU17" s="87">
        <v>3</v>
      </c>
      <c r="AV17" s="87">
        <f t="shared" si="3"/>
        <v>8</v>
      </c>
      <c r="AW17" s="87" t="str">
        <f t="shared" si="4"/>
        <v>No Aplica</v>
      </c>
      <c r="AX17" s="87" t="s">
        <v>78</v>
      </c>
      <c r="AY17" s="87"/>
      <c r="AZ17" s="87"/>
      <c r="BA17" s="91" t="s">
        <v>156</v>
      </c>
      <c r="BB17" s="84"/>
      <c r="BC17" s="85"/>
      <c r="BD17" s="85"/>
    </row>
    <row r="18" spans="1:56" s="86" customFormat="1" ht="46.5" customHeight="1">
      <c r="A18" s="78">
        <v>13</v>
      </c>
      <c r="B18" s="79" t="s">
        <v>157</v>
      </c>
      <c r="C18" s="88">
        <v>45327</v>
      </c>
      <c r="D18" s="89">
        <v>0.375</v>
      </c>
      <c r="E18" s="87" t="s">
        <v>58</v>
      </c>
      <c r="F18" s="87" t="s">
        <v>61</v>
      </c>
      <c r="G18" s="87" t="s">
        <v>62</v>
      </c>
      <c r="H18" s="90" t="s">
        <v>89</v>
      </c>
      <c r="I18" s="90" t="s">
        <v>64</v>
      </c>
      <c r="J18" s="87" t="s">
        <v>70</v>
      </c>
      <c r="K18" s="87" t="s">
        <v>71</v>
      </c>
      <c r="L18" s="90" t="s">
        <v>72</v>
      </c>
      <c r="M18" s="90" t="s">
        <v>72</v>
      </c>
      <c r="N18" s="90" t="s">
        <v>72</v>
      </c>
      <c r="O18" s="90" t="str">
        <f t="shared" si="0"/>
        <v>Distrital</v>
      </c>
      <c r="P18" s="87" t="s">
        <v>73</v>
      </c>
      <c r="Q18" s="87"/>
      <c r="R18" s="87"/>
      <c r="S18" s="87"/>
      <c r="T18" s="87"/>
      <c r="U18" s="87"/>
      <c r="V18" s="90" t="str">
        <f t="shared" si="1"/>
        <v>Distrital</v>
      </c>
      <c r="W18" s="87" t="s">
        <v>73</v>
      </c>
      <c r="X18" s="87"/>
      <c r="Y18" s="87"/>
      <c r="Z18" s="87"/>
      <c r="AA18" s="87"/>
      <c r="AB18" s="87"/>
      <c r="AC18" s="90" t="str">
        <f t="shared" si="2"/>
        <v>Distrital</v>
      </c>
      <c r="AD18" s="87" t="s">
        <v>73</v>
      </c>
      <c r="AE18" s="87"/>
      <c r="AF18" s="87"/>
      <c r="AG18" s="87"/>
      <c r="AH18" s="87"/>
      <c r="AI18" s="87"/>
      <c r="AJ18" s="87"/>
      <c r="AK18" s="87"/>
      <c r="AL18" s="87"/>
      <c r="AM18" s="87"/>
      <c r="AN18" s="90" t="s">
        <v>74</v>
      </c>
      <c r="AO18" s="90" t="s">
        <v>158</v>
      </c>
      <c r="AP18" s="82"/>
      <c r="AQ18" s="87" t="s">
        <v>60</v>
      </c>
      <c r="AR18" s="87" t="s">
        <v>77</v>
      </c>
      <c r="AS18" s="82"/>
      <c r="AT18" s="87">
        <v>15</v>
      </c>
      <c r="AU18" s="87">
        <v>5</v>
      </c>
      <c r="AV18" s="87">
        <f t="shared" si="3"/>
        <v>20</v>
      </c>
      <c r="AW18" s="87" t="str">
        <f t="shared" si="4"/>
        <v>No Aplica</v>
      </c>
      <c r="AX18" s="87" t="s">
        <v>78</v>
      </c>
      <c r="AY18" s="87"/>
      <c r="AZ18" s="87"/>
      <c r="BA18" s="91" t="s">
        <v>79</v>
      </c>
      <c r="BB18" s="84"/>
      <c r="BC18" s="85"/>
      <c r="BD18" s="85"/>
    </row>
    <row r="19" spans="1:56" s="86" customFormat="1" ht="46.5" customHeight="1">
      <c r="A19" s="87">
        <v>14</v>
      </c>
      <c r="B19" s="79" t="s">
        <v>159</v>
      </c>
      <c r="C19" s="88">
        <v>45329</v>
      </c>
      <c r="D19" s="89">
        <v>0.58333333333333337</v>
      </c>
      <c r="E19" s="87" t="s">
        <v>58</v>
      </c>
      <c r="F19" s="87" t="s">
        <v>61</v>
      </c>
      <c r="G19" s="87" t="s">
        <v>62</v>
      </c>
      <c r="H19" s="90" t="s">
        <v>89</v>
      </c>
      <c r="I19" s="90" t="s">
        <v>64</v>
      </c>
      <c r="J19" s="87" t="s">
        <v>70</v>
      </c>
      <c r="K19" s="87" t="s">
        <v>71</v>
      </c>
      <c r="L19" s="90" t="s">
        <v>72</v>
      </c>
      <c r="M19" s="90" t="s">
        <v>72</v>
      </c>
      <c r="N19" s="90" t="s">
        <v>72</v>
      </c>
      <c r="O19" s="90" t="str">
        <f t="shared" si="0"/>
        <v>Distrital</v>
      </c>
      <c r="P19" s="87" t="s">
        <v>73</v>
      </c>
      <c r="Q19" s="87"/>
      <c r="R19" s="87"/>
      <c r="S19" s="87"/>
      <c r="T19" s="87"/>
      <c r="U19" s="87"/>
      <c r="V19" s="90" t="str">
        <f t="shared" si="1"/>
        <v>Distrital</v>
      </c>
      <c r="W19" s="87" t="s">
        <v>73</v>
      </c>
      <c r="X19" s="87"/>
      <c r="Y19" s="87"/>
      <c r="Z19" s="87"/>
      <c r="AA19" s="87"/>
      <c r="AB19" s="87"/>
      <c r="AC19" s="90" t="str">
        <f t="shared" si="2"/>
        <v>Distrital</v>
      </c>
      <c r="AD19" s="87" t="s">
        <v>73</v>
      </c>
      <c r="AE19" s="87"/>
      <c r="AF19" s="87"/>
      <c r="AG19" s="87"/>
      <c r="AH19" s="87"/>
      <c r="AI19" s="87"/>
      <c r="AJ19" s="87"/>
      <c r="AK19" s="87"/>
      <c r="AL19" s="87"/>
      <c r="AM19" s="87"/>
      <c r="AN19" s="90" t="s">
        <v>160</v>
      </c>
      <c r="AO19" s="90" t="s">
        <v>91</v>
      </c>
      <c r="AP19" s="82"/>
      <c r="AQ19" s="87" t="s">
        <v>60</v>
      </c>
      <c r="AR19" s="87" t="s">
        <v>77</v>
      </c>
      <c r="AS19" s="82"/>
      <c r="AT19" s="87">
        <v>6</v>
      </c>
      <c r="AU19" s="87">
        <v>5</v>
      </c>
      <c r="AV19" s="87">
        <f t="shared" si="3"/>
        <v>11</v>
      </c>
      <c r="AW19" s="87" t="str">
        <f t="shared" si="4"/>
        <v>No Aplica</v>
      </c>
      <c r="AX19" s="87" t="s">
        <v>78</v>
      </c>
      <c r="AY19" s="87"/>
      <c r="AZ19" s="87"/>
      <c r="BA19" s="91" t="s">
        <v>161</v>
      </c>
      <c r="BB19" s="84"/>
      <c r="BC19" s="85"/>
      <c r="BD19" s="85"/>
    </row>
    <row r="20" spans="1:56" s="86" customFormat="1" ht="46.5" customHeight="1">
      <c r="A20" s="78">
        <v>15</v>
      </c>
      <c r="B20" s="79" t="s">
        <v>162</v>
      </c>
      <c r="C20" s="88">
        <v>45330</v>
      </c>
      <c r="D20" s="89">
        <v>0.64583333333333337</v>
      </c>
      <c r="E20" s="87" t="s">
        <v>58</v>
      </c>
      <c r="F20" s="87" t="s">
        <v>135</v>
      </c>
      <c r="G20" s="87" t="s">
        <v>95</v>
      </c>
      <c r="H20" s="90" t="s">
        <v>163</v>
      </c>
      <c r="I20" s="90" t="s">
        <v>64</v>
      </c>
      <c r="J20" s="87" t="s">
        <v>70</v>
      </c>
      <c r="K20" s="87" t="s">
        <v>71</v>
      </c>
      <c r="L20" s="90" t="s">
        <v>164</v>
      </c>
      <c r="M20" s="91" t="s">
        <v>165</v>
      </c>
      <c r="N20" s="90" t="s">
        <v>166</v>
      </c>
      <c r="O20" s="90" t="str">
        <f t="shared" si="0"/>
        <v>Distrital</v>
      </c>
      <c r="P20" s="87" t="s">
        <v>73</v>
      </c>
      <c r="Q20" s="87"/>
      <c r="R20" s="87"/>
      <c r="S20" s="87"/>
      <c r="T20" s="87"/>
      <c r="U20" s="87"/>
      <c r="V20" s="90" t="str">
        <f t="shared" si="1"/>
        <v>Distrital</v>
      </c>
      <c r="W20" s="87" t="s">
        <v>73</v>
      </c>
      <c r="X20" s="87"/>
      <c r="Y20" s="87"/>
      <c r="Z20" s="87"/>
      <c r="AA20" s="87"/>
      <c r="AB20" s="87"/>
      <c r="AC20" s="90" t="str">
        <f t="shared" si="2"/>
        <v>Distrital</v>
      </c>
      <c r="AD20" s="87" t="s">
        <v>73</v>
      </c>
      <c r="AE20" s="87"/>
      <c r="AF20" s="87"/>
      <c r="AG20" s="87"/>
      <c r="AH20" s="87"/>
      <c r="AI20" s="87"/>
      <c r="AJ20" s="87"/>
      <c r="AK20" s="87"/>
      <c r="AL20" s="87"/>
      <c r="AM20" s="87"/>
      <c r="AN20" s="90" t="s">
        <v>160</v>
      </c>
      <c r="AO20" s="92" t="s">
        <v>167</v>
      </c>
      <c r="AP20" s="82"/>
      <c r="AQ20" s="87" t="s">
        <v>59</v>
      </c>
      <c r="AR20" s="87" t="s">
        <v>80</v>
      </c>
      <c r="AS20" s="82"/>
      <c r="AT20" s="87">
        <v>0</v>
      </c>
      <c r="AU20" s="87">
        <v>10</v>
      </c>
      <c r="AV20" s="87">
        <f t="shared" si="3"/>
        <v>10</v>
      </c>
      <c r="AW20" s="87" t="str">
        <f t="shared" si="4"/>
        <v>No Aplica</v>
      </c>
      <c r="AX20" s="87" t="s">
        <v>78</v>
      </c>
      <c r="AY20" s="87"/>
      <c r="AZ20" s="87"/>
      <c r="BA20" s="91" t="s">
        <v>168</v>
      </c>
      <c r="BB20" s="84"/>
      <c r="BC20" s="85"/>
      <c r="BD20" s="85"/>
    </row>
    <row r="21" spans="1:56" s="86" customFormat="1" ht="46.5" customHeight="1">
      <c r="A21" s="87">
        <v>16</v>
      </c>
      <c r="B21" s="79" t="s">
        <v>169</v>
      </c>
      <c r="C21" s="88">
        <v>45331</v>
      </c>
      <c r="D21" s="89">
        <v>0.35416666666666669</v>
      </c>
      <c r="E21" s="87" t="s">
        <v>93</v>
      </c>
      <c r="F21" s="87" t="s">
        <v>170</v>
      </c>
      <c r="G21" s="87" t="s">
        <v>95</v>
      </c>
      <c r="H21" s="90" t="s">
        <v>171</v>
      </c>
      <c r="I21" s="90" t="s">
        <v>172</v>
      </c>
      <c r="J21" s="87" t="s">
        <v>173</v>
      </c>
      <c r="K21" s="87"/>
      <c r="L21" s="90" t="s">
        <v>174</v>
      </c>
      <c r="M21" s="91">
        <v>3143970232</v>
      </c>
      <c r="N21" s="90" t="s">
        <v>175</v>
      </c>
      <c r="O21" s="90" t="str">
        <f t="shared" si="0"/>
        <v>Distrital</v>
      </c>
      <c r="P21" s="87" t="s">
        <v>73</v>
      </c>
      <c r="Q21" s="87"/>
      <c r="R21" s="87"/>
      <c r="S21" s="87"/>
      <c r="T21" s="87"/>
      <c r="U21" s="87"/>
      <c r="V21" s="90" t="str">
        <f t="shared" si="1"/>
        <v>Distrital</v>
      </c>
      <c r="W21" s="87" t="s">
        <v>73</v>
      </c>
      <c r="X21" s="87"/>
      <c r="Y21" s="87"/>
      <c r="Z21" s="87"/>
      <c r="AA21" s="87"/>
      <c r="AB21" s="87"/>
      <c r="AC21" s="90" t="str">
        <f t="shared" si="2"/>
        <v>Distrital</v>
      </c>
      <c r="AD21" s="87" t="s">
        <v>73</v>
      </c>
      <c r="AE21" s="87"/>
      <c r="AF21" s="87"/>
      <c r="AG21" s="87"/>
      <c r="AH21" s="87"/>
      <c r="AI21" s="87"/>
      <c r="AJ21" s="87"/>
      <c r="AK21" s="87"/>
      <c r="AL21" s="87"/>
      <c r="AM21" s="87"/>
      <c r="AN21" s="90" t="s">
        <v>160</v>
      </c>
      <c r="AO21" s="90" t="s">
        <v>176</v>
      </c>
      <c r="AP21" s="82"/>
      <c r="AQ21" s="87" t="s">
        <v>59</v>
      </c>
      <c r="AR21" s="87" t="s">
        <v>80</v>
      </c>
      <c r="AS21" s="82"/>
      <c r="AT21" s="87">
        <v>0</v>
      </c>
      <c r="AU21" s="87">
        <v>2</v>
      </c>
      <c r="AV21" s="87">
        <f t="shared" si="3"/>
        <v>2</v>
      </c>
      <c r="AW21" s="87" t="str">
        <f t="shared" si="4"/>
        <v>No Aplica</v>
      </c>
      <c r="AX21" s="87" t="s">
        <v>78</v>
      </c>
      <c r="AY21" s="87"/>
      <c r="AZ21" s="87"/>
      <c r="BA21" s="91" t="s">
        <v>177</v>
      </c>
      <c r="BB21" s="84"/>
      <c r="BC21" s="85"/>
      <c r="BD21" s="85"/>
    </row>
    <row r="22" spans="1:56" s="86" customFormat="1" ht="46.5" customHeight="1">
      <c r="A22" s="78">
        <v>17</v>
      </c>
      <c r="B22" s="79" t="s">
        <v>178</v>
      </c>
      <c r="C22" s="88">
        <v>45331</v>
      </c>
      <c r="D22" s="89">
        <v>0.45833333333333331</v>
      </c>
      <c r="E22" s="87" t="s">
        <v>58</v>
      </c>
      <c r="F22" s="87" t="s">
        <v>61</v>
      </c>
      <c r="G22" s="87" t="s">
        <v>95</v>
      </c>
      <c r="H22" s="90" t="s">
        <v>179</v>
      </c>
      <c r="I22" s="90" t="s">
        <v>64</v>
      </c>
      <c r="J22" s="87" t="s">
        <v>70</v>
      </c>
      <c r="K22" s="87" t="s">
        <v>71</v>
      </c>
      <c r="L22" s="90" t="s">
        <v>180</v>
      </c>
      <c r="M22" s="90">
        <v>3108688172</v>
      </c>
      <c r="N22" s="90" t="s">
        <v>181</v>
      </c>
      <c r="O22" s="90" t="str">
        <f t="shared" si="0"/>
        <v>Distrital</v>
      </c>
      <c r="P22" s="87" t="s">
        <v>73</v>
      </c>
      <c r="Q22" s="87"/>
      <c r="R22" s="87"/>
      <c r="S22" s="87"/>
      <c r="T22" s="87"/>
      <c r="U22" s="87"/>
      <c r="V22" s="90" t="str">
        <f t="shared" si="1"/>
        <v>Distrital</v>
      </c>
      <c r="W22" s="87" t="s">
        <v>73</v>
      </c>
      <c r="X22" s="87"/>
      <c r="Y22" s="87"/>
      <c r="Z22" s="87"/>
      <c r="AA22" s="87"/>
      <c r="AB22" s="87"/>
      <c r="AC22" s="90" t="str">
        <f t="shared" si="2"/>
        <v>Distrital</v>
      </c>
      <c r="AD22" s="87" t="s">
        <v>73</v>
      </c>
      <c r="AE22" s="87"/>
      <c r="AF22" s="87"/>
      <c r="AG22" s="87"/>
      <c r="AH22" s="87"/>
      <c r="AI22" s="87"/>
      <c r="AJ22" s="87"/>
      <c r="AK22" s="87"/>
      <c r="AL22" s="87"/>
      <c r="AM22" s="87"/>
      <c r="AN22" s="90" t="s">
        <v>74</v>
      </c>
      <c r="AO22" s="90" t="s">
        <v>182</v>
      </c>
      <c r="AP22" s="82"/>
      <c r="AQ22" s="87" t="s">
        <v>60</v>
      </c>
      <c r="AR22" s="87" t="s">
        <v>77</v>
      </c>
      <c r="AS22" s="82"/>
      <c r="AT22" s="87">
        <v>5</v>
      </c>
      <c r="AU22" s="87">
        <v>3</v>
      </c>
      <c r="AV22" s="87">
        <v>8</v>
      </c>
      <c r="AW22" s="87" t="str">
        <f t="shared" si="4"/>
        <v>No Aplica</v>
      </c>
      <c r="AX22" s="87" t="s">
        <v>78</v>
      </c>
      <c r="AY22" s="87"/>
      <c r="AZ22" s="87"/>
      <c r="BA22" s="91" t="s">
        <v>183</v>
      </c>
      <c r="BB22" s="84"/>
      <c r="BC22" s="85"/>
      <c r="BD22" s="85"/>
    </row>
    <row r="23" spans="1:56" s="86" customFormat="1" ht="46.5" customHeight="1">
      <c r="A23" s="87">
        <v>18</v>
      </c>
      <c r="B23" s="79" t="s">
        <v>185</v>
      </c>
      <c r="C23" s="88">
        <v>45331</v>
      </c>
      <c r="D23" s="89">
        <v>0.66666666666666663</v>
      </c>
      <c r="E23" s="87" t="s">
        <v>93</v>
      </c>
      <c r="F23" s="87" t="s">
        <v>186</v>
      </c>
      <c r="G23" s="87" t="s">
        <v>62</v>
      </c>
      <c r="H23" s="90" t="s">
        <v>187</v>
      </c>
      <c r="I23" s="90" t="s">
        <v>188</v>
      </c>
      <c r="J23" s="87" t="s">
        <v>70</v>
      </c>
      <c r="K23" s="87" t="s">
        <v>71</v>
      </c>
      <c r="L23" s="90" t="s">
        <v>72</v>
      </c>
      <c r="M23" s="90" t="s">
        <v>72</v>
      </c>
      <c r="N23" s="90" t="s">
        <v>72</v>
      </c>
      <c r="O23" s="90" t="str">
        <f t="shared" si="0"/>
        <v>Distrital</v>
      </c>
      <c r="P23" s="87" t="s">
        <v>73</v>
      </c>
      <c r="Q23" s="87"/>
      <c r="R23" s="87"/>
      <c r="S23" s="87"/>
      <c r="T23" s="87"/>
      <c r="U23" s="87"/>
      <c r="V23" s="90" t="str">
        <f t="shared" si="1"/>
        <v>Distrital</v>
      </c>
      <c r="W23" s="87" t="s">
        <v>73</v>
      </c>
      <c r="X23" s="87"/>
      <c r="Y23" s="87"/>
      <c r="Z23" s="87"/>
      <c r="AA23" s="87"/>
      <c r="AB23" s="87"/>
      <c r="AC23" s="90" t="str">
        <f t="shared" si="2"/>
        <v>Distrital</v>
      </c>
      <c r="AD23" s="87" t="s">
        <v>73</v>
      </c>
      <c r="AE23" s="87"/>
      <c r="AF23" s="87"/>
      <c r="AG23" s="87"/>
      <c r="AH23" s="87"/>
      <c r="AI23" s="87"/>
      <c r="AJ23" s="87"/>
      <c r="AK23" s="87"/>
      <c r="AL23" s="87"/>
      <c r="AM23" s="87"/>
      <c r="AN23" s="90" t="s">
        <v>160</v>
      </c>
      <c r="AO23" s="90" t="s">
        <v>189</v>
      </c>
      <c r="AP23" s="82"/>
      <c r="AQ23" s="87" t="s">
        <v>60</v>
      </c>
      <c r="AR23" s="87" t="s">
        <v>77</v>
      </c>
      <c r="AS23" s="82"/>
      <c r="AT23" s="87">
        <v>0</v>
      </c>
      <c r="AU23" s="87">
        <v>3</v>
      </c>
      <c r="AV23" s="87">
        <f t="shared" ref="AV23:AV282" si="5">AT23+AU23</f>
        <v>3</v>
      </c>
      <c r="AW23" s="87" t="str">
        <f t="shared" si="4"/>
        <v>No Aplica</v>
      </c>
      <c r="AX23" s="87" t="s">
        <v>78</v>
      </c>
      <c r="AY23" s="87"/>
      <c r="AZ23" s="87"/>
      <c r="BA23" s="91" t="s">
        <v>190</v>
      </c>
      <c r="BB23" s="84"/>
      <c r="BC23" s="85"/>
      <c r="BD23" s="85"/>
    </row>
    <row r="24" spans="1:56" s="86" customFormat="1" ht="46.5" customHeight="1">
      <c r="A24" s="78">
        <v>19</v>
      </c>
      <c r="B24" s="79" t="s">
        <v>191</v>
      </c>
      <c r="C24" s="88">
        <v>45333</v>
      </c>
      <c r="D24" s="89">
        <v>0.375</v>
      </c>
      <c r="E24" s="87" t="s">
        <v>58</v>
      </c>
      <c r="F24" s="87" t="s">
        <v>61</v>
      </c>
      <c r="G24" s="87" t="s">
        <v>62</v>
      </c>
      <c r="H24" s="90" t="s">
        <v>192</v>
      </c>
      <c r="I24" s="90" t="s">
        <v>193</v>
      </c>
      <c r="J24" s="87" t="s">
        <v>173</v>
      </c>
      <c r="K24" s="87"/>
      <c r="L24" s="90" t="s">
        <v>195</v>
      </c>
      <c r="M24" s="91" t="s">
        <v>196</v>
      </c>
      <c r="N24" s="90" t="s">
        <v>197</v>
      </c>
      <c r="O24" s="90" t="str">
        <f t="shared" si="0"/>
        <v>Ciudad Bolívar</v>
      </c>
      <c r="P24" s="87" t="s">
        <v>107</v>
      </c>
      <c r="Q24" s="87"/>
      <c r="R24" s="87"/>
      <c r="S24" s="87"/>
      <c r="T24" s="87"/>
      <c r="U24" s="87"/>
      <c r="V24" s="90" t="str">
        <f t="shared" si="1"/>
        <v>Ruralidad</v>
      </c>
      <c r="W24" s="87" t="s">
        <v>109</v>
      </c>
      <c r="X24" s="87"/>
      <c r="Y24" s="87"/>
      <c r="Z24" s="87"/>
      <c r="AA24" s="87"/>
      <c r="AB24" s="87"/>
      <c r="AC24" s="90" t="str">
        <f t="shared" si="2"/>
        <v>Cuenca del Tunjuelo</v>
      </c>
      <c r="AD24" s="87" t="s">
        <v>112</v>
      </c>
      <c r="AE24" s="87"/>
      <c r="AF24" s="87"/>
      <c r="AG24" s="87"/>
      <c r="AH24" s="87"/>
      <c r="AI24" s="87"/>
      <c r="AJ24" s="87"/>
      <c r="AK24" s="87"/>
      <c r="AL24" s="87"/>
      <c r="AM24" s="87"/>
      <c r="AN24" s="90" t="s">
        <v>198</v>
      </c>
      <c r="AO24" s="90" t="s">
        <v>198</v>
      </c>
      <c r="AP24" s="82"/>
      <c r="AQ24" s="87" t="s">
        <v>60</v>
      </c>
      <c r="AR24" s="87" t="s">
        <v>199</v>
      </c>
      <c r="AS24" s="82"/>
      <c r="AT24" s="87">
        <v>22</v>
      </c>
      <c r="AU24" s="87">
        <v>3</v>
      </c>
      <c r="AV24" s="87">
        <f t="shared" si="5"/>
        <v>25</v>
      </c>
      <c r="AW24" s="87" t="str">
        <f t="shared" si="4"/>
        <v>No Aplica</v>
      </c>
      <c r="AX24" s="87" t="s">
        <v>78</v>
      </c>
      <c r="AY24" s="87"/>
      <c r="AZ24" s="87"/>
      <c r="BA24" s="91" t="s">
        <v>200</v>
      </c>
      <c r="BB24" s="84"/>
      <c r="BC24" s="85"/>
      <c r="BD24" s="85"/>
    </row>
    <row r="25" spans="1:56" s="86" customFormat="1" ht="46.5" customHeight="1">
      <c r="A25" s="87">
        <v>20</v>
      </c>
      <c r="B25" s="79" t="s">
        <v>201</v>
      </c>
      <c r="C25" s="88">
        <v>45335</v>
      </c>
      <c r="D25" s="89">
        <v>0.45833333333333331</v>
      </c>
      <c r="E25" s="87" t="s">
        <v>58</v>
      </c>
      <c r="F25" s="87" t="s">
        <v>61</v>
      </c>
      <c r="G25" s="87" t="s">
        <v>62</v>
      </c>
      <c r="H25" s="90" t="s">
        <v>202</v>
      </c>
      <c r="I25" s="90" t="s">
        <v>64</v>
      </c>
      <c r="J25" s="87" t="s">
        <v>70</v>
      </c>
      <c r="K25" s="87" t="s">
        <v>71</v>
      </c>
      <c r="L25" s="90" t="s">
        <v>203</v>
      </c>
      <c r="M25" s="90" t="s">
        <v>72</v>
      </c>
      <c r="N25" s="90" t="s">
        <v>72</v>
      </c>
      <c r="O25" s="90" t="str">
        <f t="shared" si="0"/>
        <v>Distrital</v>
      </c>
      <c r="P25" s="87" t="s">
        <v>73</v>
      </c>
      <c r="Q25" s="87"/>
      <c r="R25" s="87"/>
      <c r="S25" s="87"/>
      <c r="T25" s="87"/>
      <c r="U25" s="87"/>
      <c r="V25" s="90" t="str">
        <f t="shared" si="1"/>
        <v>Distrital</v>
      </c>
      <c r="W25" s="87" t="s">
        <v>73</v>
      </c>
      <c r="X25" s="87"/>
      <c r="Y25" s="87"/>
      <c r="Z25" s="87"/>
      <c r="AA25" s="87"/>
      <c r="AB25" s="87"/>
      <c r="AC25" s="90" t="str">
        <f t="shared" si="2"/>
        <v>Distrital</v>
      </c>
      <c r="AD25" s="87" t="s">
        <v>73</v>
      </c>
      <c r="AE25" s="87"/>
      <c r="AF25" s="87"/>
      <c r="AG25" s="87"/>
      <c r="AH25" s="87"/>
      <c r="AI25" s="87"/>
      <c r="AJ25" s="87"/>
      <c r="AK25" s="87"/>
      <c r="AL25" s="87"/>
      <c r="AM25" s="87"/>
      <c r="AN25" s="90" t="s">
        <v>160</v>
      </c>
      <c r="AO25" s="90" t="s">
        <v>204</v>
      </c>
      <c r="AP25" s="82"/>
      <c r="AQ25" s="87" t="s">
        <v>60</v>
      </c>
      <c r="AR25" s="87" t="s">
        <v>77</v>
      </c>
      <c r="AS25" s="82"/>
      <c r="AT25" s="87">
        <v>3</v>
      </c>
      <c r="AU25" s="87">
        <v>3</v>
      </c>
      <c r="AV25" s="87">
        <f t="shared" si="5"/>
        <v>6</v>
      </c>
      <c r="AW25" s="87" t="str">
        <f t="shared" si="4"/>
        <v>No Aplica</v>
      </c>
      <c r="AX25" s="87" t="s">
        <v>78</v>
      </c>
      <c r="AY25" s="87"/>
      <c r="AZ25" s="87"/>
      <c r="BA25" s="91" t="s">
        <v>205</v>
      </c>
      <c r="BB25" s="84"/>
      <c r="BC25" s="85"/>
      <c r="BD25" s="85"/>
    </row>
    <row r="26" spans="1:56" s="86" customFormat="1" ht="46.5" customHeight="1">
      <c r="A26" s="78">
        <v>21</v>
      </c>
      <c r="B26" s="79" t="s">
        <v>206</v>
      </c>
      <c r="C26" s="88">
        <v>45335</v>
      </c>
      <c r="D26" s="89">
        <v>0.66666666666666663</v>
      </c>
      <c r="E26" s="87" t="s">
        <v>58</v>
      </c>
      <c r="F26" s="87" t="s">
        <v>61</v>
      </c>
      <c r="G26" s="87" t="s">
        <v>62</v>
      </c>
      <c r="H26" s="90" t="s">
        <v>207</v>
      </c>
      <c r="I26" s="90" t="s">
        <v>193</v>
      </c>
      <c r="J26" s="87" t="s">
        <v>119</v>
      </c>
      <c r="K26" s="87" t="s">
        <v>209</v>
      </c>
      <c r="L26" s="90" t="s">
        <v>72</v>
      </c>
      <c r="M26" s="90" t="s">
        <v>72</v>
      </c>
      <c r="N26" s="90" t="s">
        <v>72</v>
      </c>
      <c r="O26" s="90" t="str">
        <f t="shared" si="0"/>
        <v>Distrital</v>
      </c>
      <c r="P26" s="87" t="s">
        <v>73</v>
      </c>
      <c r="Q26" s="87"/>
      <c r="R26" s="87"/>
      <c r="S26" s="87"/>
      <c r="T26" s="87"/>
      <c r="U26" s="87"/>
      <c r="V26" s="90" t="str">
        <f t="shared" si="1"/>
        <v>Distrital</v>
      </c>
      <c r="W26" s="87" t="s">
        <v>73</v>
      </c>
      <c r="X26" s="87"/>
      <c r="Y26" s="87"/>
      <c r="Z26" s="87"/>
      <c r="AA26" s="87"/>
      <c r="AB26" s="87"/>
      <c r="AC26" s="90" t="str">
        <f t="shared" si="2"/>
        <v>Distrital</v>
      </c>
      <c r="AD26" s="87" t="s">
        <v>73</v>
      </c>
      <c r="AE26" s="87"/>
      <c r="AF26" s="87"/>
      <c r="AG26" s="87"/>
      <c r="AH26" s="87"/>
      <c r="AI26" s="87"/>
      <c r="AJ26" s="87"/>
      <c r="AK26" s="87"/>
      <c r="AL26" s="87"/>
      <c r="AM26" s="87"/>
      <c r="AN26" s="90" t="s">
        <v>160</v>
      </c>
      <c r="AO26" s="90" t="s">
        <v>210</v>
      </c>
      <c r="AP26" s="82"/>
      <c r="AQ26" s="87" t="s">
        <v>60</v>
      </c>
      <c r="AR26" s="87" t="s">
        <v>199</v>
      </c>
      <c r="AS26" s="82"/>
      <c r="AT26" s="87">
        <v>27</v>
      </c>
      <c r="AU26" s="87">
        <v>5</v>
      </c>
      <c r="AV26" s="87">
        <f t="shared" si="5"/>
        <v>32</v>
      </c>
      <c r="AW26" s="87" t="str">
        <f t="shared" si="4"/>
        <v>Lenguaje de señas, Contenidos adaptados, Horarios Acordes</v>
      </c>
      <c r="AX26" s="87" t="s">
        <v>211</v>
      </c>
      <c r="AY26" s="87" t="s">
        <v>212</v>
      </c>
      <c r="AZ26" s="87" t="s">
        <v>213</v>
      </c>
      <c r="BA26" s="91" t="s">
        <v>214</v>
      </c>
      <c r="BB26" s="84"/>
      <c r="BC26" s="85"/>
      <c r="BD26" s="85"/>
    </row>
    <row r="27" spans="1:56" s="86" customFormat="1" ht="46.5" customHeight="1">
      <c r="A27" s="87">
        <v>22</v>
      </c>
      <c r="B27" s="79" t="s">
        <v>215</v>
      </c>
      <c r="C27" s="88">
        <v>45335</v>
      </c>
      <c r="D27" s="89">
        <v>0.66666666666666663</v>
      </c>
      <c r="E27" s="87" t="s">
        <v>58</v>
      </c>
      <c r="F27" s="87" t="s">
        <v>61</v>
      </c>
      <c r="G27" s="87" t="s">
        <v>62</v>
      </c>
      <c r="H27" s="90" t="s">
        <v>216</v>
      </c>
      <c r="I27" s="90" t="s">
        <v>64</v>
      </c>
      <c r="J27" s="87" t="s">
        <v>119</v>
      </c>
      <c r="K27" s="87" t="s">
        <v>217</v>
      </c>
      <c r="L27" s="90" t="s">
        <v>218</v>
      </c>
      <c r="M27" s="91" t="s">
        <v>219</v>
      </c>
      <c r="N27" s="90" t="s">
        <v>220</v>
      </c>
      <c r="O27" s="90" t="str">
        <f t="shared" si="0"/>
        <v>Chapinero</v>
      </c>
      <c r="P27" s="87" t="s">
        <v>221</v>
      </c>
      <c r="Q27" s="87"/>
      <c r="R27" s="87"/>
      <c r="S27" s="87"/>
      <c r="T27" s="87"/>
      <c r="U27" s="87"/>
      <c r="V27" s="90" t="str">
        <f t="shared" si="1"/>
        <v>Ruralidad</v>
      </c>
      <c r="W27" s="87" t="s">
        <v>109</v>
      </c>
      <c r="X27" s="87"/>
      <c r="Y27" s="87"/>
      <c r="Z27" s="87"/>
      <c r="AA27" s="87"/>
      <c r="AB27" s="87"/>
      <c r="AC27" s="90" t="str">
        <f t="shared" si="2"/>
        <v>Cerros Orientales</v>
      </c>
      <c r="AD27" s="87" t="s">
        <v>222</v>
      </c>
      <c r="AE27" s="87"/>
      <c r="AF27" s="87"/>
      <c r="AG27" s="87"/>
      <c r="AH27" s="87"/>
      <c r="AI27" s="87"/>
      <c r="AJ27" s="87"/>
      <c r="AK27" s="87"/>
      <c r="AL27" s="87"/>
      <c r="AM27" s="87"/>
      <c r="AN27" s="90" t="s">
        <v>160</v>
      </c>
      <c r="AO27" s="90" t="s">
        <v>223</v>
      </c>
      <c r="AP27" s="82"/>
      <c r="AQ27" s="87" t="s">
        <v>60</v>
      </c>
      <c r="AR27" s="87" t="s">
        <v>77</v>
      </c>
      <c r="AS27" s="82"/>
      <c r="AT27" s="87">
        <v>24</v>
      </c>
      <c r="AU27" s="87">
        <v>1</v>
      </c>
      <c r="AV27" s="87">
        <f t="shared" si="5"/>
        <v>25</v>
      </c>
      <c r="AW27" s="87" t="str">
        <f t="shared" si="4"/>
        <v>No Aplica</v>
      </c>
      <c r="AX27" s="87" t="s">
        <v>78</v>
      </c>
      <c r="AY27" s="87"/>
      <c r="AZ27" s="87"/>
      <c r="BA27" s="91" t="s">
        <v>224</v>
      </c>
      <c r="BB27" s="84"/>
      <c r="BC27" s="85"/>
      <c r="BD27" s="85"/>
    </row>
    <row r="28" spans="1:56" s="86" customFormat="1" ht="46.5" customHeight="1">
      <c r="A28" s="78">
        <v>23</v>
      </c>
      <c r="B28" s="79" t="s">
        <v>225</v>
      </c>
      <c r="C28" s="88">
        <v>45336</v>
      </c>
      <c r="D28" s="89">
        <v>0.35416666666666669</v>
      </c>
      <c r="E28" s="87" t="s">
        <v>58</v>
      </c>
      <c r="F28" s="87" t="s">
        <v>61</v>
      </c>
      <c r="G28" s="87" t="s">
        <v>95</v>
      </c>
      <c r="H28" s="90" t="s">
        <v>226</v>
      </c>
      <c r="I28" s="90" t="s">
        <v>172</v>
      </c>
      <c r="J28" s="87" t="s">
        <v>70</v>
      </c>
      <c r="K28" s="87" t="s">
        <v>71</v>
      </c>
      <c r="L28" s="90" t="s">
        <v>72</v>
      </c>
      <c r="M28" s="90" t="s">
        <v>72</v>
      </c>
      <c r="N28" s="90" t="s">
        <v>72</v>
      </c>
      <c r="O28" s="90" t="str">
        <f t="shared" si="0"/>
        <v>Distrital</v>
      </c>
      <c r="P28" s="87" t="s">
        <v>73</v>
      </c>
      <c r="Q28" s="87"/>
      <c r="R28" s="87"/>
      <c r="S28" s="87"/>
      <c r="T28" s="87"/>
      <c r="U28" s="87"/>
      <c r="V28" s="90" t="str">
        <f t="shared" si="1"/>
        <v>Distrital</v>
      </c>
      <c r="W28" s="87" t="s">
        <v>73</v>
      </c>
      <c r="X28" s="87"/>
      <c r="Y28" s="87"/>
      <c r="Z28" s="87"/>
      <c r="AA28" s="87"/>
      <c r="AB28" s="87"/>
      <c r="AC28" s="90" t="str">
        <f t="shared" si="2"/>
        <v>Distrital</v>
      </c>
      <c r="AD28" s="87" t="s">
        <v>73</v>
      </c>
      <c r="AE28" s="87"/>
      <c r="AF28" s="87"/>
      <c r="AG28" s="87"/>
      <c r="AH28" s="87"/>
      <c r="AI28" s="87"/>
      <c r="AJ28" s="87"/>
      <c r="AK28" s="87"/>
      <c r="AL28" s="87"/>
      <c r="AM28" s="87"/>
      <c r="AN28" s="90" t="s">
        <v>160</v>
      </c>
      <c r="AO28" s="92" t="s">
        <v>227</v>
      </c>
      <c r="AP28" s="82"/>
      <c r="AQ28" s="87" t="s">
        <v>60</v>
      </c>
      <c r="AR28" s="87" t="s">
        <v>77</v>
      </c>
      <c r="AS28" s="82"/>
      <c r="AT28" s="87">
        <v>13</v>
      </c>
      <c r="AU28" s="87">
        <v>3</v>
      </c>
      <c r="AV28" s="87">
        <f t="shared" si="5"/>
        <v>16</v>
      </c>
      <c r="AW28" s="87" t="str">
        <f t="shared" si="4"/>
        <v>No Aplica</v>
      </c>
      <c r="AX28" s="87" t="s">
        <v>78</v>
      </c>
      <c r="AY28" s="87"/>
      <c r="AZ28" s="87"/>
      <c r="BA28" s="91" t="s">
        <v>228</v>
      </c>
      <c r="BB28" s="84"/>
      <c r="BC28" s="85"/>
      <c r="BD28" s="85"/>
    </row>
    <row r="29" spans="1:56" s="86" customFormat="1" ht="46.5" customHeight="1">
      <c r="A29" s="87">
        <v>24</v>
      </c>
      <c r="B29" s="79" t="s">
        <v>229</v>
      </c>
      <c r="C29" s="88">
        <v>45336</v>
      </c>
      <c r="D29" s="89">
        <v>0.60416666666666663</v>
      </c>
      <c r="E29" s="87" t="s">
        <v>58</v>
      </c>
      <c r="F29" s="87" t="s">
        <v>61</v>
      </c>
      <c r="G29" s="87" t="s">
        <v>95</v>
      </c>
      <c r="H29" s="90" t="s">
        <v>230</v>
      </c>
      <c r="I29" s="90" t="s">
        <v>188</v>
      </c>
      <c r="J29" s="87" t="s">
        <v>119</v>
      </c>
      <c r="K29" s="87" t="s">
        <v>209</v>
      </c>
      <c r="L29" s="90" t="s">
        <v>232</v>
      </c>
      <c r="M29" s="90" t="s">
        <v>72</v>
      </c>
      <c r="N29" s="90" t="s">
        <v>233</v>
      </c>
      <c r="O29" s="90" t="str">
        <f t="shared" si="0"/>
        <v>Distrital</v>
      </c>
      <c r="P29" s="87" t="s">
        <v>73</v>
      </c>
      <c r="Q29" s="87"/>
      <c r="R29" s="87"/>
      <c r="S29" s="87"/>
      <c r="T29" s="87"/>
      <c r="U29" s="87"/>
      <c r="V29" s="90" t="str">
        <f t="shared" si="1"/>
        <v>Distrital</v>
      </c>
      <c r="W29" s="87" t="s">
        <v>73</v>
      </c>
      <c r="X29" s="87"/>
      <c r="Y29" s="87"/>
      <c r="Z29" s="87"/>
      <c r="AA29" s="87"/>
      <c r="AB29" s="87"/>
      <c r="AC29" s="90" t="str">
        <f t="shared" si="2"/>
        <v>Distrital</v>
      </c>
      <c r="AD29" s="87" t="s">
        <v>73</v>
      </c>
      <c r="AE29" s="87"/>
      <c r="AF29" s="87"/>
      <c r="AG29" s="87"/>
      <c r="AH29" s="87"/>
      <c r="AI29" s="87"/>
      <c r="AJ29" s="87"/>
      <c r="AK29" s="87"/>
      <c r="AL29" s="87"/>
      <c r="AM29" s="87"/>
      <c r="AN29" s="90" t="s">
        <v>160</v>
      </c>
      <c r="AO29" s="92" t="s">
        <v>234</v>
      </c>
      <c r="AP29" s="82"/>
      <c r="AQ29" s="87" t="s">
        <v>60</v>
      </c>
      <c r="AR29" s="87" t="s">
        <v>77</v>
      </c>
      <c r="AS29" s="82"/>
      <c r="AT29" s="87">
        <v>19</v>
      </c>
      <c r="AU29" s="87">
        <v>4</v>
      </c>
      <c r="AV29" s="87">
        <f t="shared" si="5"/>
        <v>23</v>
      </c>
      <c r="AW29" s="87" t="str">
        <f t="shared" si="4"/>
        <v>Horarios Acordes, Lenguaje de señas, Contenidos adaptados</v>
      </c>
      <c r="AX29" s="87" t="s">
        <v>213</v>
      </c>
      <c r="AY29" s="87" t="s">
        <v>211</v>
      </c>
      <c r="AZ29" s="87" t="s">
        <v>212</v>
      </c>
      <c r="BA29" s="91" t="s">
        <v>235</v>
      </c>
      <c r="BB29" s="84"/>
      <c r="BC29" s="85"/>
      <c r="BD29" s="85"/>
    </row>
    <row r="30" spans="1:56" s="86" customFormat="1" ht="46.5" customHeight="1">
      <c r="A30" s="78">
        <v>25</v>
      </c>
      <c r="B30" s="79" t="s">
        <v>236</v>
      </c>
      <c r="C30" s="88">
        <v>45337</v>
      </c>
      <c r="D30" s="89">
        <v>0.33333333333333331</v>
      </c>
      <c r="E30" s="87" t="s">
        <v>58</v>
      </c>
      <c r="F30" s="87" t="s">
        <v>61</v>
      </c>
      <c r="G30" s="87" t="s">
        <v>62</v>
      </c>
      <c r="H30" s="90" t="s">
        <v>237</v>
      </c>
      <c r="I30" s="90" t="s">
        <v>172</v>
      </c>
      <c r="J30" s="87" t="s">
        <v>173</v>
      </c>
      <c r="K30" s="87"/>
      <c r="L30" s="90" t="s">
        <v>238</v>
      </c>
      <c r="M30" s="91" t="s">
        <v>239</v>
      </c>
      <c r="N30" s="90" t="s">
        <v>240</v>
      </c>
      <c r="O30" s="90" t="str">
        <f t="shared" si="0"/>
        <v>Distrital</v>
      </c>
      <c r="P30" s="87" t="s">
        <v>73</v>
      </c>
      <c r="Q30" s="87"/>
      <c r="R30" s="87"/>
      <c r="S30" s="87"/>
      <c r="T30" s="87"/>
      <c r="U30" s="87"/>
      <c r="V30" s="90" t="str">
        <f t="shared" si="1"/>
        <v>Distrital</v>
      </c>
      <c r="W30" s="87" t="s">
        <v>73</v>
      </c>
      <c r="X30" s="87"/>
      <c r="Y30" s="87"/>
      <c r="Z30" s="87"/>
      <c r="AA30" s="87"/>
      <c r="AB30" s="87"/>
      <c r="AC30" s="90" t="str">
        <f t="shared" si="2"/>
        <v>Distrital</v>
      </c>
      <c r="AD30" s="87" t="s">
        <v>73</v>
      </c>
      <c r="AE30" s="87"/>
      <c r="AF30" s="87"/>
      <c r="AG30" s="87"/>
      <c r="AH30" s="87"/>
      <c r="AI30" s="87"/>
      <c r="AJ30" s="87"/>
      <c r="AK30" s="87"/>
      <c r="AL30" s="87"/>
      <c r="AM30" s="87"/>
      <c r="AN30" s="90" t="s">
        <v>160</v>
      </c>
      <c r="AO30" s="90" t="s">
        <v>241</v>
      </c>
      <c r="AP30" s="82"/>
      <c r="AQ30" s="87" t="s">
        <v>60</v>
      </c>
      <c r="AR30" s="87" t="s">
        <v>199</v>
      </c>
      <c r="AS30" s="82"/>
      <c r="AT30" s="87">
        <v>22</v>
      </c>
      <c r="AU30" s="87">
        <v>12</v>
      </c>
      <c r="AV30" s="87">
        <f t="shared" si="5"/>
        <v>34</v>
      </c>
      <c r="AW30" s="87" t="str">
        <f t="shared" si="4"/>
        <v>Ninguna</v>
      </c>
      <c r="AX30" s="87" t="s">
        <v>75</v>
      </c>
      <c r="AY30" s="87"/>
      <c r="AZ30" s="87"/>
      <c r="BA30" s="91" t="s">
        <v>242</v>
      </c>
      <c r="BB30" s="84"/>
      <c r="BC30" s="85"/>
      <c r="BD30" s="85"/>
    </row>
    <row r="31" spans="1:56" s="86" customFormat="1" ht="46.5" customHeight="1">
      <c r="A31" s="87">
        <v>26</v>
      </c>
      <c r="B31" s="79" t="s">
        <v>243</v>
      </c>
      <c r="C31" s="88">
        <v>45337</v>
      </c>
      <c r="D31" s="89">
        <v>0.33333333333333331</v>
      </c>
      <c r="E31" s="87" t="s">
        <v>58</v>
      </c>
      <c r="F31" s="87" t="s">
        <v>61</v>
      </c>
      <c r="G31" s="87" t="s">
        <v>62</v>
      </c>
      <c r="H31" s="90" t="s">
        <v>244</v>
      </c>
      <c r="I31" s="90" t="s">
        <v>64</v>
      </c>
      <c r="J31" s="87" t="s">
        <v>70</v>
      </c>
      <c r="K31" s="87" t="s">
        <v>71</v>
      </c>
      <c r="L31" s="90" t="s">
        <v>72</v>
      </c>
      <c r="M31" s="90" t="s">
        <v>72</v>
      </c>
      <c r="N31" s="90" t="s">
        <v>72</v>
      </c>
      <c r="O31" s="90" t="str">
        <f t="shared" si="0"/>
        <v>Distrital</v>
      </c>
      <c r="P31" s="87" t="s">
        <v>73</v>
      </c>
      <c r="Q31" s="87"/>
      <c r="R31" s="87"/>
      <c r="S31" s="87"/>
      <c r="T31" s="87"/>
      <c r="U31" s="87"/>
      <c r="V31" s="90" t="str">
        <f t="shared" si="1"/>
        <v>Distrital</v>
      </c>
      <c r="W31" s="87" t="s">
        <v>73</v>
      </c>
      <c r="X31" s="87"/>
      <c r="Y31" s="87"/>
      <c r="Z31" s="87"/>
      <c r="AA31" s="87"/>
      <c r="AB31" s="87"/>
      <c r="AC31" s="90" t="str">
        <f t="shared" si="2"/>
        <v>Distrital</v>
      </c>
      <c r="AD31" s="87" t="s">
        <v>73</v>
      </c>
      <c r="AE31" s="87"/>
      <c r="AF31" s="87"/>
      <c r="AG31" s="87"/>
      <c r="AH31" s="87"/>
      <c r="AI31" s="87"/>
      <c r="AJ31" s="87"/>
      <c r="AK31" s="87"/>
      <c r="AL31" s="87"/>
      <c r="AM31" s="87"/>
      <c r="AN31" s="90" t="s">
        <v>160</v>
      </c>
      <c r="AO31" s="90" t="s">
        <v>245</v>
      </c>
      <c r="AP31" s="82"/>
      <c r="AQ31" s="87" t="s">
        <v>60</v>
      </c>
      <c r="AR31" s="87" t="s">
        <v>199</v>
      </c>
      <c r="AS31" s="82"/>
      <c r="AT31" s="87">
        <v>0</v>
      </c>
      <c r="AU31" s="87">
        <v>100</v>
      </c>
      <c r="AV31" s="87">
        <f t="shared" si="5"/>
        <v>100</v>
      </c>
      <c r="AW31" s="87" t="str">
        <f t="shared" si="4"/>
        <v>Lenguaje de señas, Accesibilidad Universal, Horarios Acordes</v>
      </c>
      <c r="AX31" s="87" t="s">
        <v>211</v>
      </c>
      <c r="AY31" s="87" t="s">
        <v>246</v>
      </c>
      <c r="AZ31" s="87" t="s">
        <v>213</v>
      </c>
      <c r="BA31" s="91" t="s">
        <v>247</v>
      </c>
      <c r="BB31" s="84"/>
      <c r="BC31" s="85"/>
      <c r="BD31" s="85"/>
    </row>
    <row r="32" spans="1:56" s="86" customFormat="1" ht="46.5" customHeight="1">
      <c r="A32" s="78">
        <v>27</v>
      </c>
      <c r="B32" s="79" t="s">
        <v>248</v>
      </c>
      <c r="C32" s="88">
        <v>45337</v>
      </c>
      <c r="D32" s="89">
        <v>0.58333333333333337</v>
      </c>
      <c r="E32" s="87" t="s">
        <v>58</v>
      </c>
      <c r="F32" s="87" t="s">
        <v>61</v>
      </c>
      <c r="G32" s="87" t="s">
        <v>62</v>
      </c>
      <c r="H32" s="90" t="s">
        <v>237</v>
      </c>
      <c r="I32" s="90" t="s">
        <v>172</v>
      </c>
      <c r="J32" s="87" t="s">
        <v>173</v>
      </c>
      <c r="K32" s="87"/>
      <c r="L32" s="90" t="s">
        <v>238</v>
      </c>
      <c r="M32" s="91" t="s">
        <v>239</v>
      </c>
      <c r="N32" s="90" t="s">
        <v>240</v>
      </c>
      <c r="O32" s="90" t="str">
        <f t="shared" si="0"/>
        <v>Distrital</v>
      </c>
      <c r="P32" s="87" t="s">
        <v>73</v>
      </c>
      <c r="Q32" s="87"/>
      <c r="R32" s="87"/>
      <c r="S32" s="87"/>
      <c r="T32" s="87"/>
      <c r="U32" s="87"/>
      <c r="V32" s="90" t="str">
        <f t="shared" si="1"/>
        <v>Distrital</v>
      </c>
      <c r="W32" s="87" t="s">
        <v>73</v>
      </c>
      <c r="X32" s="87"/>
      <c r="Y32" s="87"/>
      <c r="Z32" s="87"/>
      <c r="AA32" s="87"/>
      <c r="AB32" s="87"/>
      <c r="AC32" s="90" t="str">
        <f t="shared" si="2"/>
        <v>Distrital</v>
      </c>
      <c r="AD32" s="87" t="s">
        <v>73</v>
      </c>
      <c r="AE32" s="87"/>
      <c r="AF32" s="87"/>
      <c r="AG32" s="87"/>
      <c r="AH32" s="87"/>
      <c r="AI32" s="87"/>
      <c r="AJ32" s="87"/>
      <c r="AK32" s="87"/>
      <c r="AL32" s="87"/>
      <c r="AM32" s="87"/>
      <c r="AN32" s="90" t="s">
        <v>160</v>
      </c>
      <c r="AO32" s="90" t="s">
        <v>249</v>
      </c>
      <c r="AP32" s="82"/>
      <c r="AQ32" s="87" t="s">
        <v>60</v>
      </c>
      <c r="AR32" s="87" t="s">
        <v>199</v>
      </c>
      <c r="AS32" s="82"/>
      <c r="AT32" s="87">
        <v>33</v>
      </c>
      <c r="AU32" s="87">
        <v>10</v>
      </c>
      <c r="AV32" s="87">
        <f t="shared" si="5"/>
        <v>43</v>
      </c>
      <c r="AW32" s="87" t="str">
        <f t="shared" si="4"/>
        <v>Ninguna</v>
      </c>
      <c r="AX32" s="87" t="s">
        <v>75</v>
      </c>
      <c r="AY32" s="87"/>
      <c r="AZ32" s="87"/>
      <c r="BA32" s="91" t="s">
        <v>242</v>
      </c>
      <c r="BB32" s="84"/>
      <c r="BC32" s="85"/>
      <c r="BD32" s="85"/>
    </row>
    <row r="33" spans="1:56" s="86" customFormat="1" ht="46.5" customHeight="1">
      <c r="A33" s="87">
        <v>28</v>
      </c>
      <c r="B33" s="79" t="s">
        <v>250</v>
      </c>
      <c r="C33" s="88">
        <v>45338</v>
      </c>
      <c r="D33" s="89">
        <v>0.33333333333333331</v>
      </c>
      <c r="E33" s="87" t="s">
        <v>58</v>
      </c>
      <c r="F33" s="87" t="s">
        <v>61</v>
      </c>
      <c r="G33" s="87" t="s">
        <v>62</v>
      </c>
      <c r="H33" s="90" t="s">
        <v>237</v>
      </c>
      <c r="I33" s="90" t="s">
        <v>172</v>
      </c>
      <c r="J33" s="87" t="s">
        <v>173</v>
      </c>
      <c r="K33" s="87"/>
      <c r="L33" s="90" t="s">
        <v>238</v>
      </c>
      <c r="M33" s="91" t="s">
        <v>239</v>
      </c>
      <c r="N33" s="90" t="s">
        <v>240</v>
      </c>
      <c r="O33" s="90" t="str">
        <f t="shared" si="0"/>
        <v>Distrital</v>
      </c>
      <c r="P33" s="87" t="s">
        <v>73</v>
      </c>
      <c r="Q33" s="87"/>
      <c r="R33" s="87"/>
      <c r="S33" s="87"/>
      <c r="T33" s="87"/>
      <c r="U33" s="87"/>
      <c r="V33" s="90" t="str">
        <f t="shared" si="1"/>
        <v>Distrital</v>
      </c>
      <c r="W33" s="87" t="s">
        <v>73</v>
      </c>
      <c r="X33" s="87"/>
      <c r="Y33" s="87"/>
      <c r="Z33" s="87"/>
      <c r="AA33" s="87"/>
      <c r="AB33" s="87"/>
      <c r="AC33" s="90" t="str">
        <f t="shared" si="2"/>
        <v>Distrital</v>
      </c>
      <c r="AD33" s="87" t="s">
        <v>73</v>
      </c>
      <c r="AE33" s="87"/>
      <c r="AF33" s="87"/>
      <c r="AG33" s="87"/>
      <c r="AH33" s="87"/>
      <c r="AI33" s="87"/>
      <c r="AJ33" s="87"/>
      <c r="AK33" s="87"/>
      <c r="AL33" s="87"/>
      <c r="AM33" s="87"/>
      <c r="AN33" s="90" t="s">
        <v>160</v>
      </c>
      <c r="AO33" s="90" t="s">
        <v>251</v>
      </c>
      <c r="AP33" s="82"/>
      <c r="AQ33" s="87" t="s">
        <v>60</v>
      </c>
      <c r="AR33" s="87" t="s">
        <v>199</v>
      </c>
      <c r="AS33" s="82"/>
      <c r="AT33" s="87">
        <v>44</v>
      </c>
      <c r="AU33" s="87">
        <v>12</v>
      </c>
      <c r="AV33" s="87">
        <f t="shared" si="5"/>
        <v>56</v>
      </c>
      <c r="AW33" s="87" t="str">
        <f t="shared" si="4"/>
        <v>Ninguna</v>
      </c>
      <c r="AX33" s="87" t="s">
        <v>75</v>
      </c>
      <c r="AY33" s="87"/>
      <c r="AZ33" s="87"/>
      <c r="BA33" s="91" t="s">
        <v>252</v>
      </c>
      <c r="BB33" s="84"/>
      <c r="BC33" s="85"/>
      <c r="BD33" s="85"/>
    </row>
    <row r="34" spans="1:56" s="86" customFormat="1" ht="46.5" customHeight="1">
      <c r="A34" s="78">
        <v>29</v>
      </c>
      <c r="B34" s="79" t="s">
        <v>253</v>
      </c>
      <c r="C34" s="88">
        <v>45338</v>
      </c>
      <c r="D34" s="89">
        <v>0.41666666666666669</v>
      </c>
      <c r="E34" s="87" t="s">
        <v>58</v>
      </c>
      <c r="F34" s="87" t="s">
        <v>61</v>
      </c>
      <c r="G34" s="87" t="s">
        <v>62</v>
      </c>
      <c r="H34" s="90" t="s">
        <v>254</v>
      </c>
      <c r="I34" s="90" t="s">
        <v>188</v>
      </c>
      <c r="J34" s="87" t="s">
        <v>70</v>
      </c>
      <c r="K34" s="87" t="s">
        <v>104</v>
      </c>
      <c r="L34" s="90" t="s">
        <v>255</v>
      </c>
      <c r="M34" s="91">
        <v>3106615065</v>
      </c>
      <c r="N34" s="90" t="s">
        <v>256</v>
      </c>
      <c r="O34" s="90" t="str">
        <f t="shared" si="0"/>
        <v>Engativá</v>
      </c>
      <c r="P34" s="87" t="s">
        <v>123</v>
      </c>
      <c r="Q34" s="87"/>
      <c r="R34" s="87"/>
      <c r="S34" s="87"/>
      <c r="T34" s="87"/>
      <c r="U34" s="87"/>
      <c r="V34" s="90" t="str">
        <f t="shared" si="1"/>
        <v>Occidente</v>
      </c>
      <c r="W34" s="87" t="s">
        <v>124</v>
      </c>
      <c r="X34" s="87"/>
      <c r="Y34" s="87"/>
      <c r="Z34" s="87"/>
      <c r="AA34" s="87"/>
      <c r="AB34" s="87"/>
      <c r="AC34" s="90" t="str">
        <f t="shared" si="2"/>
        <v>Engativá, Tabora, Salitre</v>
      </c>
      <c r="AD34" s="87" t="s">
        <v>123</v>
      </c>
      <c r="AE34" s="87" t="s">
        <v>257</v>
      </c>
      <c r="AF34" s="87" t="s">
        <v>258</v>
      </c>
      <c r="AG34" s="87"/>
      <c r="AH34" s="87"/>
      <c r="AI34" s="87"/>
      <c r="AJ34" s="87"/>
      <c r="AK34" s="87"/>
      <c r="AL34" s="87"/>
      <c r="AM34" s="87"/>
      <c r="AN34" s="90" t="s">
        <v>160</v>
      </c>
      <c r="AO34" s="90" t="s">
        <v>259</v>
      </c>
      <c r="AP34" s="82"/>
      <c r="AQ34" s="87" t="s">
        <v>60</v>
      </c>
      <c r="AR34" s="87" t="s">
        <v>77</v>
      </c>
      <c r="AS34" s="82"/>
      <c r="AT34" s="87">
        <v>7</v>
      </c>
      <c r="AU34" s="87">
        <v>3</v>
      </c>
      <c r="AV34" s="87">
        <f t="shared" si="5"/>
        <v>10</v>
      </c>
      <c r="AW34" s="87" t="str">
        <f t="shared" si="4"/>
        <v>Horarios Acordes</v>
      </c>
      <c r="AX34" s="87" t="s">
        <v>213</v>
      </c>
      <c r="AY34" s="87"/>
      <c r="AZ34" s="87"/>
      <c r="BA34" s="91" t="s">
        <v>235</v>
      </c>
      <c r="BB34" s="84"/>
      <c r="BC34" s="85"/>
      <c r="BD34" s="85"/>
    </row>
    <row r="35" spans="1:56" s="86" customFormat="1" ht="46.5" customHeight="1">
      <c r="A35" s="87">
        <v>30</v>
      </c>
      <c r="B35" s="79" t="s">
        <v>260</v>
      </c>
      <c r="C35" s="88">
        <v>45341</v>
      </c>
      <c r="D35" s="89">
        <v>0.60416666666666663</v>
      </c>
      <c r="E35" s="87" t="s">
        <v>58</v>
      </c>
      <c r="F35" s="87" t="s">
        <v>135</v>
      </c>
      <c r="G35" s="87" t="s">
        <v>62</v>
      </c>
      <c r="H35" s="90" t="s">
        <v>261</v>
      </c>
      <c r="I35" s="90" t="s">
        <v>64</v>
      </c>
      <c r="J35" s="87" t="s">
        <v>70</v>
      </c>
      <c r="K35" s="87" t="s">
        <v>71</v>
      </c>
      <c r="L35" s="90" t="s">
        <v>263</v>
      </c>
      <c r="M35" s="91" t="s">
        <v>264</v>
      </c>
      <c r="N35" s="90" t="s">
        <v>265</v>
      </c>
      <c r="O35" s="90" t="str">
        <f t="shared" si="0"/>
        <v>Distrital</v>
      </c>
      <c r="P35" s="87" t="s">
        <v>73</v>
      </c>
      <c r="Q35" s="87"/>
      <c r="R35" s="87"/>
      <c r="S35" s="87"/>
      <c r="T35" s="87"/>
      <c r="U35" s="87"/>
      <c r="V35" s="90" t="str">
        <f t="shared" si="1"/>
        <v>Distrital</v>
      </c>
      <c r="W35" s="87" t="s">
        <v>73</v>
      </c>
      <c r="X35" s="87"/>
      <c r="Y35" s="87"/>
      <c r="Z35" s="87"/>
      <c r="AA35" s="87"/>
      <c r="AB35" s="87"/>
      <c r="AC35" s="90" t="str">
        <f t="shared" si="2"/>
        <v>Distrital</v>
      </c>
      <c r="AD35" s="87" t="s">
        <v>73</v>
      </c>
      <c r="AE35" s="87"/>
      <c r="AF35" s="87"/>
      <c r="AG35" s="87"/>
      <c r="AH35" s="87"/>
      <c r="AI35" s="87"/>
      <c r="AJ35" s="87"/>
      <c r="AK35" s="87"/>
      <c r="AL35" s="87"/>
      <c r="AM35" s="87"/>
      <c r="AN35" s="90" t="s">
        <v>160</v>
      </c>
      <c r="AO35" s="90" t="s">
        <v>266</v>
      </c>
      <c r="AP35" s="82"/>
      <c r="AQ35" s="87" t="s">
        <v>59</v>
      </c>
      <c r="AR35" s="87" t="s">
        <v>80</v>
      </c>
      <c r="AS35" s="82"/>
      <c r="AT35" s="87">
        <v>4</v>
      </c>
      <c r="AU35" s="87">
        <v>6</v>
      </c>
      <c r="AV35" s="87">
        <f t="shared" si="5"/>
        <v>10</v>
      </c>
      <c r="AW35" s="87" t="str">
        <f t="shared" si="4"/>
        <v>No Aplica</v>
      </c>
      <c r="AX35" s="87" t="s">
        <v>78</v>
      </c>
      <c r="AY35" s="87"/>
      <c r="AZ35" s="87"/>
      <c r="BA35" s="91" t="s">
        <v>267</v>
      </c>
      <c r="BB35" s="84"/>
      <c r="BC35" s="85"/>
      <c r="BD35" s="85"/>
    </row>
    <row r="36" spans="1:56" s="86" customFormat="1" ht="46.5" customHeight="1">
      <c r="A36" s="78">
        <v>31</v>
      </c>
      <c r="B36" s="79" t="s">
        <v>260</v>
      </c>
      <c r="C36" s="88">
        <v>45343</v>
      </c>
      <c r="D36" s="89">
        <v>0.33333333333333331</v>
      </c>
      <c r="E36" s="87" t="s">
        <v>58</v>
      </c>
      <c r="F36" s="87" t="s">
        <v>135</v>
      </c>
      <c r="G36" s="87" t="s">
        <v>95</v>
      </c>
      <c r="H36" s="90" t="s">
        <v>268</v>
      </c>
      <c r="I36" s="90" t="s">
        <v>64</v>
      </c>
      <c r="J36" s="87" t="s">
        <v>70</v>
      </c>
      <c r="K36" s="87" t="s">
        <v>71</v>
      </c>
      <c r="L36" s="90" t="s">
        <v>263</v>
      </c>
      <c r="M36" s="91" t="s">
        <v>264</v>
      </c>
      <c r="N36" s="90" t="s">
        <v>265</v>
      </c>
      <c r="O36" s="90" t="str">
        <f t="shared" si="0"/>
        <v>Distrital</v>
      </c>
      <c r="P36" s="87" t="s">
        <v>73</v>
      </c>
      <c r="Q36" s="87"/>
      <c r="R36" s="87"/>
      <c r="S36" s="87"/>
      <c r="T36" s="87"/>
      <c r="U36" s="87"/>
      <c r="V36" s="90" t="str">
        <f t="shared" si="1"/>
        <v>Distrital</v>
      </c>
      <c r="W36" s="87" t="s">
        <v>73</v>
      </c>
      <c r="X36" s="87"/>
      <c r="Y36" s="87"/>
      <c r="Z36" s="87"/>
      <c r="AA36" s="87"/>
      <c r="AB36" s="87"/>
      <c r="AC36" s="90" t="str">
        <f t="shared" si="2"/>
        <v>Distrital</v>
      </c>
      <c r="AD36" s="87" t="s">
        <v>73</v>
      </c>
      <c r="AE36" s="87"/>
      <c r="AF36" s="87"/>
      <c r="AG36" s="87"/>
      <c r="AH36" s="87"/>
      <c r="AI36" s="87"/>
      <c r="AJ36" s="87"/>
      <c r="AK36" s="87"/>
      <c r="AL36" s="87"/>
      <c r="AM36" s="87"/>
      <c r="AN36" s="90" t="s">
        <v>160</v>
      </c>
      <c r="AO36" s="92" t="s">
        <v>269</v>
      </c>
      <c r="AP36" s="82"/>
      <c r="AQ36" s="87" t="s">
        <v>59</v>
      </c>
      <c r="AR36" s="87" t="s">
        <v>80</v>
      </c>
      <c r="AS36" s="82"/>
      <c r="AT36" s="87">
        <v>4</v>
      </c>
      <c r="AU36" s="87">
        <v>6</v>
      </c>
      <c r="AV36" s="87">
        <f t="shared" si="5"/>
        <v>10</v>
      </c>
      <c r="AW36" s="87" t="str">
        <f t="shared" si="4"/>
        <v>No Aplica</v>
      </c>
      <c r="AX36" s="87" t="s">
        <v>78</v>
      </c>
      <c r="AY36" s="87"/>
      <c r="AZ36" s="87"/>
      <c r="BA36" s="91" t="s">
        <v>270</v>
      </c>
      <c r="BB36" s="84"/>
      <c r="BC36" s="85"/>
      <c r="BD36" s="85"/>
    </row>
    <row r="37" spans="1:56" s="86" customFormat="1" ht="46.5" customHeight="1">
      <c r="A37" s="87">
        <v>32</v>
      </c>
      <c r="B37" s="79" t="s">
        <v>271</v>
      </c>
      <c r="C37" s="88">
        <v>45343</v>
      </c>
      <c r="D37" s="89">
        <v>0.33333333333333331</v>
      </c>
      <c r="E37" s="87" t="s">
        <v>58</v>
      </c>
      <c r="F37" s="87" t="s">
        <v>61</v>
      </c>
      <c r="G37" s="87" t="s">
        <v>95</v>
      </c>
      <c r="H37" s="90" t="s">
        <v>272</v>
      </c>
      <c r="I37" s="90" t="s">
        <v>64</v>
      </c>
      <c r="J37" s="87" t="s">
        <v>70</v>
      </c>
      <c r="K37" s="87" t="s">
        <v>71</v>
      </c>
      <c r="L37" s="90" t="s">
        <v>72</v>
      </c>
      <c r="M37" s="91" t="s">
        <v>72</v>
      </c>
      <c r="N37" s="90" t="s">
        <v>72</v>
      </c>
      <c r="O37" s="90" t="str">
        <f t="shared" si="0"/>
        <v>Distrital</v>
      </c>
      <c r="P37" s="87" t="s">
        <v>73</v>
      </c>
      <c r="Q37" s="87"/>
      <c r="R37" s="87"/>
      <c r="S37" s="87"/>
      <c r="T37" s="87"/>
      <c r="U37" s="87"/>
      <c r="V37" s="90" t="str">
        <f t="shared" si="1"/>
        <v>Distrital</v>
      </c>
      <c r="W37" s="87" t="s">
        <v>73</v>
      </c>
      <c r="X37" s="87"/>
      <c r="Y37" s="87"/>
      <c r="Z37" s="87"/>
      <c r="AA37" s="87"/>
      <c r="AB37" s="87"/>
      <c r="AC37" s="90" t="str">
        <f t="shared" si="2"/>
        <v>Distrital</v>
      </c>
      <c r="AD37" s="87" t="s">
        <v>73</v>
      </c>
      <c r="AE37" s="87"/>
      <c r="AF37" s="87"/>
      <c r="AG37" s="87"/>
      <c r="AH37" s="87"/>
      <c r="AI37" s="87"/>
      <c r="AJ37" s="87"/>
      <c r="AK37" s="87"/>
      <c r="AL37" s="87"/>
      <c r="AM37" s="87"/>
      <c r="AN37" s="90" t="s">
        <v>160</v>
      </c>
      <c r="AO37" s="92" t="s">
        <v>273</v>
      </c>
      <c r="AP37" s="82"/>
      <c r="AQ37" s="87" t="s">
        <v>60</v>
      </c>
      <c r="AR37" s="87" t="s">
        <v>77</v>
      </c>
      <c r="AS37" s="82"/>
      <c r="AT37" s="87">
        <v>20</v>
      </c>
      <c r="AU37" s="87">
        <v>5</v>
      </c>
      <c r="AV37" s="87">
        <f t="shared" si="5"/>
        <v>25</v>
      </c>
      <c r="AW37" s="87" t="str">
        <f t="shared" si="4"/>
        <v>No Aplica</v>
      </c>
      <c r="AX37" s="87" t="s">
        <v>78</v>
      </c>
      <c r="AY37" s="87"/>
      <c r="AZ37" s="87"/>
      <c r="BA37" s="91" t="s">
        <v>274</v>
      </c>
      <c r="BB37" s="84"/>
      <c r="BC37" s="85"/>
      <c r="BD37" s="85"/>
    </row>
    <row r="38" spans="1:56" s="86" customFormat="1" ht="46.5" customHeight="1">
      <c r="A38" s="78">
        <v>33</v>
      </c>
      <c r="B38" s="79" t="s">
        <v>275</v>
      </c>
      <c r="C38" s="88">
        <v>45343</v>
      </c>
      <c r="D38" s="89">
        <v>0.72916666666666663</v>
      </c>
      <c r="E38" s="87" t="s">
        <v>58</v>
      </c>
      <c r="F38" s="87" t="s">
        <v>61</v>
      </c>
      <c r="G38" s="87" t="s">
        <v>95</v>
      </c>
      <c r="H38" s="90" t="s">
        <v>276</v>
      </c>
      <c r="I38" s="90" t="s">
        <v>188</v>
      </c>
      <c r="J38" s="87" t="s">
        <v>119</v>
      </c>
      <c r="K38" s="87" t="s">
        <v>120</v>
      </c>
      <c r="L38" s="90" t="s">
        <v>72</v>
      </c>
      <c r="M38" s="91" t="s">
        <v>72</v>
      </c>
      <c r="N38" s="90" t="s">
        <v>72</v>
      </c>
      <c r="O38" s="90" t="str">
        <f t="shared" si="0"/>
        <v>Distrital</v>
      </c>
      <c r="P38" s="87" t="s">
        <v>73</v>
      </c>
      <c r="Q38" s="87"/>
      <c r="R38" s="87"/>
      <c r="S38" s="87"/>
      <c r="T38" s="87"/>
      <c r="U38" s="87"/>
      <c r="V38" s="90" t="str">
        <f t="shared" si="1"/>
        <v>Distrital</v>
      </c>
      <c r="W38" s="87" t="s">
        <v>73</v>
      </c>
      <c r="X38" s="87"/>
      <c r="Y38" s="87"/>
      <c r="Z38" s="87"/>
      <c r="AA38" s="87"/>
      <c r="AB38" s="87"/>
      <c r="AC38" s="90" t="str">
        <f t="shared" si="2"/>
        <v>Distrital</v>
      </c>
      <c r="AD38" s="87" t="s">
        <v>73</v>
      </c>
      <c r="AE38" s="87"/>
      <c r="AF38" s="87"/>
      <c r="AG38" s="87"/>
      <c r="AH38" s="87"/>
      <c r="AI38" s="87"/>
      <c r="AJ38" s="87"/>
      <c r="AK38" s="87"/>
      <c r="AL38" s="87"/>
      <c r="AM38" s="87"/>
      <c r="AN38" s="90" t="s">
        <v>160</v>
      </c>
      <c r="AO38" s="92" t="s">
        <v>277</v>
      </c>
      <c r="AP38" s="82"/>
      <c r="AQ38" s="87" t="s">
        <v>60</v>
      </c>
      <c r="AR38" s="87" t="s">
        <v>77</v>
      </c>
      <c r="AS38" s="82"/>
      <c r="AT38" s="87">
        <v>64</v>
      </c>
      <c r="AU38" s="87">
        <v>2</v>
      </c>
      <c r="AV38" s="87">
        <f t="shared" si="5"/>
        <v>66</v>
      </c>
      <c r="AW38" s="87" t="str">
        <f t="shared" ref="AW38:AW69" si="6">_xlfn.TEXTJOIN(", ",TRUE,$AX38:$AZ38)</f>
        <v>No Aplica</v>
      </c>
      <c r="AX38" s="87" t="s">
        <v>78</v>
      </c>
      <c r="AY38" s="87"/>
      <c r="AZ38" s="87"/>
      <c r="BA38" s="91" t="s">
        <v>278</v>
      </c>
      <c r="BB38" s="84"/>
      <c r="BC38" s="85"/>
      <c r="BD38" s="85"/>
    </row>
    <row r="39" spans="1:56" s="86" customFormat="1" ht="46.5" customHeight="1">
      <c r="A39" s="87">
        <v>34</v>
      </c>
      <c r="B39" s="79" t="s">
        <v>279</v>
      </c>
      <c r="C39" s="88">
        <v>45344</v>
      </c>
      <c r="D39" s="89">
        <v>0.375</v>
      </c>
      <c r="E39" s="87" t="s">
        <v>93</v>
      </c>
      <c r="F39" s="87" t="s">
        <v>102</v>
      </c>
      <c r="G39" s="87" t="s">
        <v>95</v>
      </c>
      <c r="H39" s="90" t="s">
        <v>280</v>
      </c>
      <c r="I39" s="90" t="s">
        <v>128</v>
      </c>
      <c r="J39" s="87" t="s">
        <v>70</v>
      </c>
      <c r="K39" s="87" t="s">
        <v>71</v>
      </c>
      <c r="L39" s="90" t="s">
        <v>263</v>
      </c>
      <c r="M39" s="91" t="s">
        <v>264</v>
      </c>
      <c r="N39" s="90" t="s">
        <v>265</v>
      </c>
      <c r="O39" s="90" t="str">
        <f t="shared" si="0"/>
        <v>Distrital</v>
      </c>
      <c r="P39" s="87" t="s">
        <v>73</v>
      </c>
      <c r="Q39" s="87"/>
      <c r="R39" s="87"/>
      <c r="S39" s="87"/>
      <c r="T39" s="87"/>
      <c r="U39" s="87"/>
      <c r="V39" s="90" t="str">
        <f t="shared" si="1"/>
        <v>Distrital</v>
      </c>
      <c r="W39" s="87" t="s">
        <v>73</v>
      </c>
      <c r="X39" s="87"/>
      <c r="Y39" s="87"/>
      <c r="Z39" s="87"/>
      <c r="AA39" s="87"/>
      <c r="AB39" s="87"/>
      <c r="AC39" s="90" t="str">
        <f t="shared" si="2"/>
        <v>Distrital</v>
      </c>
      <c r="AD39" s="87" t="s">
        <v>73</v>
      </c>
      <c r="AE39" s="87"/>
      <c r="AF39" s="87"/>
      <c r="AG39" s="87"/>
      <c r="AH39" s="87"/>
      <c r="AI39" s="87"/>
      <c r="AJ39" s="87"/>
      <c r="AK39" s="87"/>
      <c r="AL39" s="87"/>
      <c r="AM39" s="87"/>
      <c r="AN39" s="90" t="s">
        <v>160</v>
      </c>
      <c r="AO39" s="92" t="s">
        <v>281</v>
      </c>
      <c r="AP39" s="82"/>
      <c r="AQ39" s="87" t="s">
        <v>59</v>
      </c>
      <c r="AR39" s="87" t="s">
        <v>80</v>
      </c>
      <c r="AS39" s="82"/>
      <c r="AT39" s="87">
        <v>13</v>
      </c>
      <c r="AU39" s="87">
        <v>5</v>
      </c>
      <c r="AV39" s="87">
        <f t="shared" si="5"/>
        <v>18</v>
      </c>
      <c r="AW39" s="87" t="str">
        <f t="shared" si="6"/>
        <v>Horarios Acordes</v>
      </c>
      <c r="AX39" s="87" t="s">
        <v>213</v>
      </c>
      <c r="AY39" s="87"/>
      <c r="AZ39" s="87"/>
      <c r="BA39" s="91" t="s">
        <v>282</v>
      </c>
      <c r="BB39" s="84"/>
      <c r="BC39" s="85"/>
      <c r="BD39" s="85"/>
    </row>
    <row r="40" spans="1:56" s="86" customFormat="1" ht="46.5" customHeight="1">
      <c r="A40" s="78">
        <v>35</v>
      </c>
      <c r="B40" s="79" t="s">
        <v>283</v>
      </c>
      <c r="C40" s="88">
        <v>45344</v>
      </c>
      <c r="D40" s="89">
        <v>0.70833333333333337</v>
      </c>
      <c r="E40" s="87" t="s">
        <v>93</v>
      </c>
      <c r="F40" s="87" t="s">
        <v>102</v>
      </c>
      <c r="G40" s="87" t="s">
        <v>95</v>
      </c>
      <c r="H40" s="90" t="s">
        <v>284</v>
      </c>
      <c r="I40" s="90" t="s">
        <v>128</v>
      </c>
      <c r="J40" s="87" t="s">
        <v>70</v>
      </c>
      <c r="K40" s="87" t="s">
        <v>71</v>
      </c>
      <c r="L40" s="90" t="s">
        <v>263</v>
      </c>
      <c r="M40" s="91" t="s">
        <v>264</v>
      </c>
      <c r="N40" s="90" t="s">
        <v>265</v>
      </c>
      <c r="O40" s="90" t="str">
        <f t="shared" si="0"/>
        <v>Distrital</v>
      </c>
      <c r="P40" s="87" t="s">
        <v>73</v>
      </c>
      <c r="Q40" s="87"/>
      <c r="R40" s="87"/>
      <c r="S40" s="87"/>
      <c r="T40" s="87"/>
      <c r="U40" s="87"/>
      <c r="V40" s="90" t="str">
        <f t="shared" si="1"/>
        <v>Distrital</v>
      </c>
      <c r="W40" s="87" t="s">
        <v>73</v>
      </c>
      <c r="X40" s="87"/>
      <c r="Y40" s="87"/>
      <c r="Z40" s="87"/>
      <c r="AA40" s="87"/>
      <c r="AB40" s="87"/>
      <c r="AC40" s="90" t="str">
        <f t="shared" si="2"/>
        <v>Distrital</v>
      </c>
      <c r="AD40" s="87" t="s">
        <v>73</v>
      </c>
      <c r="AE40" s="87"/>
      <c r="AF40" s="87"/>
      <c r="AG40" s="87"/>
      <c r="AH40" s="87"/>
      <c r="AI40" s="87"/>
      <c r="AJ40" s="87"/>
      <c r="AK40" s="87"/>
      <c r="AL40" s="87"/>
      <c r="AM40" s="87"/>
      <c r="AN40" s="90" t="s">
        <v>160</v>
      </c>
      <c r="AO40" s="92" t="s">
        <v>281</v>
      </c>
      <c r="AP40" s="82"/>
      <c r="AQ40" s="87" t="s">
        <v>59</v>
      </c>
      <c r="AR40" s="87" t="s">
        <v>80</v>
      </c>
      <c r="AS40" s="82"/>
      <c r="AT40" s="87">
        <v>7</v>
      </c>
      <c r="AU40" s="87">
        <v>4</v>
      </c>
      <c r="AV40" s="87">
        <f t="shared" si="5"/>
        <v>11</v>
      </c>
      <c r="AW40" s="87" t="str">
        <f t="shared" si="6"/>
        <v>Horarios Acordes</v>
      </c>
      <c r="AX40" s="87" t="s">
        <v>213</v>
      </c>
      <c r="AY40" s="87"/>
      <c r="AZ40" s="87"/>
      <c r="BA40" s="91" t="s">
        <v>285</v>
      </c>
      <c r="BB40" s="84"/>
      <c r="BC40" s="85"/>
      <c r="BD40" s="85"/>
    </row>
    <row r="41" spans="1:56" s="86" customFormat="1" ht="46.5" customHeight="1">
      <c r="A41" s="87">
        <v>36</v>
      </c>
      <c r="B41" s="79" t="s">
        <v>286</v>
      </c>
      <c r="C41" s="88">
        <v>45345</v>
      </c>
      <c r="D41" s="89">
        <v>0.33333333333333331</v>
      </c>
      <c r="E41" s="87" t="s">
        <v>58</v>
      </c>
      <c r="F41" s="87" t="s">
        <v>287</v>
      </c>
      <c r="G41" s="87" t="s">
        <v>62</v>
      </c>
      <c r="H41" s="90" t="s">
        <v>288</v>
      </c>
      <c r="I41" s="90" t="s">
        <v>188</v>
      </c>
      <c r="J41" s="87" t="s">
        <v>173</v>
      </c>
      <c r="K41" s="87"/>
      <c r="L41" s="90" t="s">
        <v>289</v>
      </c>
      <c r="M41" s="91" t="s">
        <v>290</v>
      </c>
      <c r="N41" s="90" t="s">
        <v>291</v>
      </c>
      <c r="O41" s="90" t="str">
        <f t="shared" si="0"/>
        <v>Distrital</v>
      </c>
      <c r="P41" s="87" t="s">
        <v>73</v>
      </c>
      <c r="Q41" s="87"/>
      <c r="R41" s="87"/>
      <c r="S41" s="87"/>
      <c r="T41" s="87"/>
      <c r="U41" s="87"/>
      <c r="V41" s="90" t="str">
        <f t="shared" si="1"/>
        <v>Distrital</v>
      </c>
      <c r="W41" s="87" t="s">
        <v>73</v>
      </c>
      <c r="X41" s="87"/>
      <c r="Y41" s="87"/>
      <c r="Z41" s="87"/>
      <c r="AA41" s="87"/>
      <c r="AB41" s="87"/>
      <c r="AC41" s="90" t="str">
        <f t="shared" si="2"/>
        <v>Distrital</v>
      </c>
      <c r="AD41" s="87" t="s">
        <v>73</v>
      </c>
      <c r="AE41" s="87"/>
      <c r="AF41" s="87"/>
      <c r="AG41" s="87"/>
      <c r="AH41" s="87"/>
      <c r="AI41" s="87"/>
      <c r="AJ41" s="87"/>
      <c r="AK41" s="87"/>
      <c r="AL41" s="87"/>
      <c r="AM41" s="87"/>
      <c r="AN41" s="90" t="s">
        <v>160</v>
      </c>
      <c r="AO41" s="90" t="s">
        <v>292</v>
      </c>
      <c r="AP41" s="82"/>
      <c r="AQ41" s="87" t="s">
        <v>59</v>
      </c>
      <c r="AR41" s="87"/>
      <c r="AS41" s="82"/>
      <c r="AT41" s="87">
        <v>121</v>
      </c>
      <c r="AU41" s="87">
        <v>15</v>
      </c>
      <c r="AV41" s="87">
        <f t="shared" si="5"/>
        <v>136</v>
      </c>
      <c r="AW41" s="87" t="str">
        <f t="shared" si="6"/>
        <v>Accesibilidad Universal, Horarios Acordes, Contenidos adaptados</v>
      </c>
      <c r="AX41" s="87" t="s">
        <v>246</v>
      </c>
      <c r="AY41" s="87" t="s">
        <v>213</v>
      </c>
      <c r="AZ41" s="87" t="s">
        <v>212</v>
      </c>
      <c r="BA41" s="91" t="s">
        <v>293</v>
      </c>
      <c r="BB41" s="84"/>
      <c r="BC41" s="85"/>
      <c r="BD41" s="85"/>
    </row>
    <row r="42" spans="1:56" s="86" customFormat="1" ht="46.5" customHeight="1">
      <c r="A42" s="78">
        <v>37</v>
      </c>
      <c r="B42" s="79" t="s">
        <v>260</v>
      </c>
      <c r="C42" s="88">
        <v>45345</v>
      </c>
      <c r="D42" s="89">
        <v>0.39583333333333331</v>
      </c>
      <c r="E42" s="87" t="s">
        <v>58</v>
      </c>
      <c r="F42" s="87" t="s">
        <v>135</v>
      </c>
      <c r="G42" s="87" t="s">
        <v>95</v>
      </c>
      <c r="H42" s="90" t="s">
        <v>294</v>
      </c>
      <c r="I42" s="90" t="s">
        <v>64</v>
      </c>
      <c r="J42" s="87" t="s">
        <v>70</v>
      </c>
      <c r="K42" s="87" t="s">
        <v>71</v>
      </c>
      <c r="L42" s="90" t="s">
        <v>263</v>
      </c>
      <c r="M42" s="91" t="s">
        <v>264</v>
      </c>
      <c r="N42" s="90" t="s">
        <v>265</v>
      </c>
      <c r="O42" s="90" t="str">
        <f t="shared" si="0"/>
        <v>Distrital</v>
      </c>
      <c r="P42" s="87" t="s">
        <v>73</v>
      </c>
      <c r="Q42" s="87"/>
      <c r="R42" s="87"/>
      <c r="S42" s="87"/>
      <c r="T42" s="87"/>
      <c r="U42" s="87"/>
      <c r="V42" s="90" t="str">
        <f t="shared" si="1"/>
        <v>Distrital</v>
      </c>
      <c r="W42" s="87" t="s">
        <v>73</v>
      </c>
      <c r="X42" s="87"/>
      <c r="Y42" s="87"/>
      <c r="Z42" s="87"/>
      <c r="AA42" s="87"/>
      <c r="AB42" s="87"/>
      <c r="AC42" s="90" t="str">
        <f t="shared" si="2"/>
        <v>Distrital</v>
      </c>
      <c r="AD42" s="87" t="s">
        <v>73</v>
      </c>
      <c r="AE42" s="87"/>
      <c r="AF42" s="87"/>
      <c r="AG42" s="87"/>
      <c r="AH42" s="87"/>
      <c r="AI42" s="87"/>
      <c r="AJ42" s="87"/>
      <c r="AK42" s="87"/>
      <c r="AL42" s="87"/>
      <c r="AM42" s="87"/>
      <c r="AN42" s="90" t="s">
        <v>160</v>
      </c>
      <c r="AO42" s="92" t="s">
        <v>295</v>
      </c>
      <c r="AP42" s="82"/>
      <c r="AQ42" s="87" t="s">
        <v>59</v>
      </c>
      <c r="AR42" s="87" t="s">
        <v>80</v>
      </c>
      <c r="AS42" s="82"/>
      <c r="AT42" s="87">
        <v>4</v>
      </c>
      <c r="AU42" s="87">
        <v>6</v>
      </c>
      <c r="AV42" s="87">
        <f t="shared" si="5"/>
        <v>10</v>
      </c>
      <c r="AW42" s="87" t="str">
        <f t="shared" si="6"/>
        <v>No Aplica</v>
      </c>
      <c r="AX42" s="87" t="s">
        <v>78</v>
      </c>
      <c r="AY42" s="87"/>
      <c r="AZ42" s="87"/>
      <c r="BA42" s="91" t="s">
        <v>296</v>
      </c>
      <c r="BB42" s="84"/>
      <c r="BC42" s="85"/>
      <c r="BD42" s="85"/>
    </row>
    <row r="43" spans="1:56" s="86" customFormat="1" ht="46.5" customHeight="1">
      <c r="A43" s="87">
        <v>38</v>
      </c>
      <c r="B43" s="79" t="s">
        <v>297</v>
      </c>
      <c r="C43" s="88">
        <v>45345</v>
      </c>
      <c r="D43" s="89">
        <v>0.60416666666666663</v>
      </c>
      <c r="E43" s="87" t="s">
        <v>58</v>
      </c>
      <c r="F43" s="87" t="s">
        <v>149</v>
      </c>
      <c r="G43" s="87" t="s">
        <v>62</v>
      </c>
      <c r="H43" s="90" t="s">
        <v>298</v>
      </c>
      <c r="I43" s="90" t="s">
        <v>64</v>
      </c>
      <c r="J43" s="87" t="s">
        <v>70</v>
      </c>
      <c r="K43" s="87" t="s">
        <v>300</v>
      </c>
      <c r="L43" s="90" t="s">
        <v>301</v>
      </c>
      <c r="M43" s="91" t="s">
        <v>302</v>
      </c>
      <c r="N43" s="90" t="s">
        <v>303</v>
      </c>
      <c r="O43" s="90" t="str">
        <f t="shared" si="0"/>
        <v>Distrital</v>
      </c>
      <c r="P43" s="87" t="s">
        <v>73</v>
      </c>
      <c r="Q43" s="87"/>
      <c r="R43" s="87"/>
      <c r="S43" s="87"/>
      <c r="T43" s="87"/>
      <c r="U43" s="87"/>
      <c r="V43" s="90" t="str">
        <f t="shared" si="1"/>
        <v>Distrital</v>
      </c>
      <c r="W43" s="87" t="s">
        <v>73</v>
      </c>
      <c r="X43" s="87"/>
      <c r="Y43" s="87"/>
      <c r="Z43" s="87"/>
      <c r="AA43" s="87"/>
      <c r="AB43" s="87"/>
      <c r="AC43" s="90" t="str">
        <f t="shared" si="2"/>
        <v>Distrital</v>
      </c>
      <c r="AD43" s="87" t="s">
        <v>73</v>
      </c>
      <c r="AE43" s="87"/>
      <c r="AF43" s="87"/>
      <c r="AG43" s="87"/>
      <c r="AH43" s="87"/>
      <c r="AI43" s="87"/>
      <c r="AJ43" s="87"/>
      <c r="AK43" s="87"/>
      <c r="AL43" s="87"/>
      <c r="AM43" s="87"/>
      <c r="AN43" s="90" t="s">
        <v>160</v>
      </c>
      <c r="AO43" s="90" t="s">
        <v>304</v>
      </c>
      <c r="AP43" s="82"/>
      <c r="AQ43" s="87" t="s">
        <v>59</v>
      </c>
      <c r="AR43" s="87"/>
      <c r="AS43" s="82"/>
      <c r="AT43" s="87">
        <v>10</v>
      </c>
      <c r="AU43" s="87">
        <v>3</v>
      </c>
      <c r="AV43" s="87">
        <f t="shared" si="5"/>
        <v>13</v>
      </c>
      <c r="AW43" s="87" t="str">
        <f t="shared" si="6"/>
        <v>No Aplica</v>
      </c>
      <c r="AX43" s="87" t="s">
        <v>78</v>
      </c>
      <c r="AY43" s="87"/>
      <c r="AZ43" s="87"/>
      <c r="BA43" s="91" t="s">
        <v>305</v>
      </c>
      <c r="BB43" s="84"/>
      <c r="BC43" s="85"/>
      <c r="BD43" s="85"/>
    </row>
    <row r="44" spans="1:56" s="86" customFormat="1" ht="46.5" customHeight="1">
      <c r="A44" s="78">
        <v>39</v>
      </c>
      <c r="B44" s="79" t="s">
        <v>201</v>
      </c>
      <c r="C44" s="88">
        <v>45345</v>
      </c>
      <c r="D44" s="89">
        <v>0.66666666666666663</v>
      </c>
      <c r="E44" s="87" t="s">
        <v>58</v>
      </c>
      <c r="F44" s="87" t="s">
        <v>61</v>
      </c>
      <c r="G44" s="87" t="s">
        <v>95</v>
      </c>
      <c r="H44" s="90" t="s">
        <v>202</v>
      </c>
      <c r="I44" s="90" t="s">
        <v>64</v>
      </c>
      <c r="J44" s="87" t="s">
        <v>70</v>
      </c>
      <c r="K44" s="87" t="s">
        <v>71</v>
      </c>
      <c r="L44" s="90" t="s">
        <v>306</v>
      </c>
      <c r="M44" s="90" t="s">
        <v>72</v>
      </c>
      <c r="N44" s="90" t="s">
        <v>72</v>
      </c>
      <c r="O44" s="90" t="str">
        <f t="shared" si="0"/>
        <v>Distrital</v>
      </c>
      <c r="P44" s="87" t="s">
        <v>73</v>
      </c>
      <c r="Q44" s="87"/>
      <c r="R44" s="87"/>
      <c r="S44" s="87"/>
      <c r="T44" s="87"/>
      <c r="U44" s="87"/>
      <c r="V44" s="90" t="str">
        <f t="shared" si="1"/>
        <v>Distrital</v>
      </c>
      <c r="W44" s="87" t="s">
        <v>73</v>
      </c>
      <c r="X44" s="87"/>
      <c r="Y44" s="87"/>
      <c r="Z44" s="87"/>
      <c r="AA44" s="87"/>
      <c r="AB44" s="87"/>
      <c r="AC44" s="90" t="str">
        <f t="shared" si="2"/>
        <v>Distrital</v>
      </c>
      <c r="AD44" s="87" t="s">
        <v>73</v>
      </c>
      <c r="AE44" s="87"/>
      <c r="AF44" s="87"/>
      <c r="AG44" s="87"/>
      <c r="AH44" s="87"/>
      <c r="AI44" s="87"/>
      <c r="AJ44" s="87"/>
      <c r="AK44" s="87"/>
      <c r="AL44" s="87"/>
      <c r="AM44" s="87"/>
      <c r="AN44" s="90" t="s">
        <v>160</v>
      </c>
      <c r="AO44" s="93" t="s">
        <v>307</v>
      </c>
      <c r="AP44" s="82"/>
      <c r="AQ44" s="87" t="s">
        <v>60</v>
      </c>
      <c r="AR44" s="87" t="s">
        <v>77</v>
      </c>
      <c r="AS44" s="82"/>
      <c r="AT44" s="87">
        <v>5</v>
      </c>
      <c r="AU44" s="87">
        <v>3</v>
      </c>
      <c r="AV44" s="87">
        <f t="shared" si="5"/>
        <v>8</v>
      </c>
      <c r="AW44" s="87" t="str">
        <f t="shared" si="6"/>
        <v>No Aplica</v>
      </c>
      <c r="AX44" s="87" t="s">
        <v>78</v>
      </c>
      <c r="AY44" s="87"/>
      <c r="AZ44" s="87"/>
      <c r="BA44" s="91" t="s">
        <v>205</v>
      </c>
      <c r="BB44" s="84"/>
      <c r="BC44" s="85"/>
      <c r="BD44" s="85"/>
    </row>
    <row r="45" spans="1:56" s="86" customFormat="1" ht="46.5" customHeight="1">
      <c r="A45" s="87">
        <v>40</v>
      </c>
      <c r="B45" s="79" t="s">
        <v>308</v>
      </c>
      <c r="C45" s="88">
        <v>45348</v>
      </c>
      <c r="D45" s="89">
        <v>0.375</v>
      </c>
      <c r="E45" s="87" t="s">
        <v>93</v>
      </c>
      <c r="F45" s="87" t="s">
        <v>102</v>
      </c>
      <c r="G45" s="87" t="s">
        <v>95</v>
      </c>
      <c r="H45" s="90" t="s">
        <v>309</v>
      </c>
      <c r="I45" s="90" t="s">
        <v>128</v>
      </c>
      <c r="J45" s="87" t="s">
        <v>70</v>
      </c>
      <c r="K45" s="87" t="s">
        <v>71</v>
      </c>
      <c r="L45" s="90" t="s">
        <v>263</v>
      </c>
      <c r="M45" s="91" t="s">
        <v>264</v>
      </c>
      <c r="N45" s="90" t="s">
        <v>265</v>
      </c>
      <c r="O45" s="90" t="str">
        <f t="shared" si="0"/>
        <v>Distrital</v>
      </c>
      <c r="P45" s="87" t="s">
        <v>73</v>
      </c>
      <c r="Q45" s="87"/>
      <c r="R45" s="87"/>
      <c r="S45" s="87"/>
      <c r="T45" s="87"/>
      <c r="U45" s="87"/>
      <c r="V45" s="90" t="str">
        <f t="shared" si="1"/>
        <v>Distrital</v>
      </c>
      <c r="W45" s="87" t="s">
        <v>73</v>
      </c>
      <c r="X45" s="87"/>
      <c r="Y45" s="87"/>
      <c r="Z45" s="87"/>
      <c r="AA45" s="87"/>
      <c r="AB45" s="87"/>
      <c r="AC45" s="90" t="str">
        <f t="shared" si="2"/>
        <v>Distrital</v>
      </c>
      <c r="AD45" s="87" t="s">
        <v>73</v>
      </c>
      <c r="AE45" s="87"/>
      <c r="AF45" s="87"/>
      <c r="AG45" s="87"/>
      <c r="AH45" s="87"/>
      <c r="AI45" s="87"/>
      <c r="AJ45" s="87"/>
      <c r="AK45" s="87"/>
      <c r="AL45" s="87"/>
      <c r="AM45" s="87"/>
      <c r="AN45" s="90" t="s">
        <v>160</v>
      </c>
      <c r="AO45" s="92" t="s">
        <v>310</v>
      </c>
      <c r="AP45" s="82"/>
      <c r="AQ45" s="87" t="s">
        <v>59</v>
      </c>
      <c r="AR45" s="87" t="s">
        <v>80</v>
      </c>
      <c r="AS45" s="82"/>
      <c r="AT45" s="87">
        <v>14</v>
      </c>
      <c r="AU45" s="87">
        <v>5</v>
      </c>
      <c r="AV45" s="87">
        <f t="shared" si="5"/>
        <v>19</v>
      </c>
      <c r="AW45" s="87" t="str">
        <f t="shared" si="6"/>
        <v>No Aplica</v>
      </c>
      <c r="AX45" s="87" t="s">
        <v>78</v>
      </c>
      <c r="AY45" s="87"/>
      <c r="AZ45" s="87"/>
      <c r="BA45" s="91" t="s">
        <v>311</v>
      </c>
      <c r="BB45" s="84"/>
      <c r="BC45" s="85"/>
      <c r="BD45" s="85"/>
    </row>
    <row r="46" spans="1:56" s="86" customFormat="1" ht="46.5" customHeight="1">
      <c r="A46" s="78">
        <v>41</v>
      </c>
      <c r="B46" s="79" t="s">
        <v>312</v>
      </c>
      <c r="C46" s="88">
        <v>45348</v>
      </c>
      <c r="D46" s="89">
        <v>0.58333333333333337</v>
      </c>
      <c r="E46" s="87" t="s">
        <v>58</v>
      </c>
      <c r="F46" s="87" t="s">
        <v>135</v>
      </c>
      <c r="G46" s="87" t="s">
        <v>62</v>
      </c>
      <c r="H46" s="90" t="s">
        <v>313</v>
      </c>
      <c r="I46" s="90" t="s">
        <v>64</v>
      </c>
      <c r="J46" s="87" t="s">
        <v>70</v>
      </c>
      <c r="K46" s="87" t="s">
        <v>71</v>
      </c>
      <c r="L46" s="90" t="s">
        <v>72</v>
      </c>
      <c r="M46" s="90" t="s">
        <v>72</v>
      </c>
      <c r="N46" s="90" t="s">
        <v>72</v>
      </c>
      <c r="O46" s="90" t="str">
        <f t="shared" si="0"/>
        <v>Distrital</v>
      </c>
      <c r="P46" s="87" t="s">
        <v>73</v>
      </c>
      <c r="Q46" s="87"/>
      <c r="R46" s="87"/>
      <c r="S46" s="87"/>
      <c r="T46" s="87"/>
      <c r="U46" s="87"/>
      <c r="V46" s="90" t="str">
        <f t="shared" si="1"/>
        <v>Distrital</v>
      </c>
      <c r="W46" s="87" t="s">
        <v>73</v>
      </c>
      <c r="X46" s="87"/>
      <c r="Y46" s="87"/>
      <c r="Z46" s="87"/>
      <c r="AA46" s="87"/>
      <c r="AB46" s="87"/>
      <c r="AC46" s="90" t="str">
        <f t="shared" si="2"/>
        <v>Distrital</v>
      </c>
      <c r="AD46" s="87" t="s">
        <v>73</v>
      </c>
      <c r="AE46" s="87"/>
      <c r="AF46" s="87"/>
      <c r="AG46" s="87"/>
      <c r="AH46" s="87"/>
      <c r="AI46" s="87"/>
      <c r="AJ46" s="87"/>
      <c r="AK46" s="87"/>
      <c r="AL46" s="87"/>
      <c r="AM46" s="87"/>
      <c r="AN46" s="90" t="s">
        <v>160</v>
      </c>
      <c r="AO46" s="90" t="s">
        <v>91</v>
      </c>
      <c r="AP46" s="82"/>
      <c r="AQ46" s="87" t="s">
        <v>59</v>
      </c>
      <c r="AR46" s="87" t="s">
        <v>80</v>
      </c>
      <c r="AS46" s="82"/>
      <c r="AT46" s="87">
        <v>0</v>
      </c>
      <c r="AU46" s="87">
        <v>38</v>
      </c>
      <c r="AV46" s="87">
        <f t="shared" si="5"/>
        <v>38</v>
      </c>
      <c r="AW46" s="87" t="str">
        <f t="shared" si="6"/>
        <v>No Aplica</v>
      </c>
      <c r="AX46" s="87" t="s">
        <v>78</v>
      </c>
      <c r="AY46" s="87"/>
      <c r="AZ46" s="87"/>
      <c r="BA46" s="91" t="s">
        <v>314</v>
      </c>
      <c r="BB46" s="84"/>
      <c r="BC46" s="85"/>
      <c r="BD46" s="85"/>
    </row>
    <row r="47" spans="1:56" s="86" customFormat="1" ht="46.5" customHeight="1">
      <c r="A47" s="87">
        <v>42</v>
      </c>
      <c r="B47" s="79" t="s">
        <v>315</v>
      </c>
      <c r="C47" s="88">
        <v>45348</v>
      </c>
      <c r="D47" s="89">
        <v>0.70833333333333337</v>
      </c>
      <c r="E47" s="87" t="s">
        <v>93</v>
      </c>
      <c r="F47" s="87" t="s">
        <v>102</v>
      </c>
      <c r="G47" s="87" t="s">
        <v>95</v>
      </c>
      <c r="H47" s="90" t="s">
        <v>316</v>
      </c>
      <c r="I47" s="90" t="s">
        <v>128</v>
      </c>
      <c r="J47" s="87" t="s">
        <v>70</v>
      </c>
      <c r="K47" s="87" t="s">
        <v>71</v>
      </c>
      <c r="L47" s="90" t="s">
        <v>263</v>
      </c>
      <c r="M47" s="91" t="s">
        <v>264</v>
      </c>
      <c r="N47" s="90" t="s">
        <v>265</v>
      </c>
      <c r="O47" s="90" t="str">
        <f t="shared" si="0"/>
        <v>Distrital</v>
      </c>
      <c r="P47" s="87" t="s">
        <v>73</v>
      </c>
      <c r="Q47" s="87"/>
      <c r="R47" s="87"/>
      <c r="S47" s="87"/>
      <c r="T47" s="87"/>
      <c r="U47" s="87"/>
      <c r="V47" s="90" t="str">
        <f t="shared" si="1"/>
        <v>Distrital</v>
      </c>
      <c r="W47" s="87" t="s">
        <v>73</v>
      </c>
      <c r="X47" s="87"/>
      <c r="Y47" s="87"/>
      <c r="Z47" s="87"/>
      <c r="AA47" s="87"/>
      <c r="AB47" s="87"/>
      <c r="AC47" s="90" t="str">
        <f t="shared" si="2"/>
        <v>Distrital</v>
      </c>
      <c r="AD47" s="87" t="s">
        <v>73</v>
      </c>
      <c r="AE47" s="87"/>
      <c r="AF47" s="87"/>
      <c r="AG47" s="87"/>
      <c r="AH47" s="87"/>
      <c r="AI47" s="87"/>
      <c r="AJ47" s="87"/>
      <c r="AK47" s="87"/>
      <c r="AL47" s="87"/>
      <c r="AM47" s="87"/>
      <c r="AN47" s="90" t="s">
        <v>160</v>
      </c>
      <c r="AO47" s="92" t="s">
        <v>318</v>
      </c>
      <c r="AP47" s="82"/>
      <c r="AQ47" s="87" t="s">
        <v>59</v>
      </c>
      <c r="AR47" s="87" t="s">
        <v>80</v>
      </c>
      <c r="AS47" s="82"/>
      <c r="AT47" s="87">
        <v>14</v>
      </c>
      <c r="AU47" s="87">
        <v>4</v>
      </c>
      <c r="AV47" s="87">
        <f t="shared" si="5"/>
        <v>18</v>
      </c>
      <c r="AW47" s="87" t="str">
        <f t="shared" si="6"/>
        <v>No Aplica</v>
      </c>
      <c r="AX47" s="87" t="s">
        <v>78</v>
      </c>
      <c r="AY47" s="87"/>
      <c r="AZ47" s="87"/>
      <c r="BA47" s="91" t="s">
        <v>319</v>
      </c>
      <c r="BB47" s="84"/>
      <c r="BC47" s="85"/>
      <c r="BD47" s="85"/>
    </row>
    <row r="48" spans="1:56" s="86" customFormat="1" ht="46.5" customHeight="1">
      <c r="A48" s="78">
        <v>43</v>
      </c>
      <c r="B48" s="79" t="s">
        <v>320</v>
      </c>
      <c r="C48" s="88">
        <v>45349</v>
      </c>
      <c r="D48" s="89">
        <v>0.375</v>
      </c>
      <c r="E48" s="87" t="s">
        <v>93</v>
      </c>
      <c r="F48" s="87" t="s">
        <v>321</v>
      </c>
      <c r="G48" s="87" t="s">
        <v>95</v>
      </c>
      <c r="H48" s="90" t="s">
        <v>322</v>
      </c>
      <c r="I48" s="90" t="s">
        <v>64</v>
      </c>
      <c r="J48" s="87" t="s">
        <v>70</v>
      </c>
      <c r="K48" s="87" t="s">
        <v>324</v>
      </c>
      <c r="L48" s="90" t="s">
        <v>325</v>
      </c>
      <c r="M48" s="91" t="s">
        <v>326</v>
      </c>
      <c r="N48" s="90" t="s">
        <v>72</v>
      </c>
      <c r="O48" s="90" t="str">
        <f t="shared" si="0"/>
        <v>Sumapaz</v>
      </c>
      <c r="P48" s="87" t="s">
        <v>327</v>
      </c>
      <c r="Q48" s="87"/>
      <c r="R48" s="87"/>
      <c r="S48" s="87"/>
      <c r="T48" s="87"/>
      <c r="U48" s="87"/>
      <c r="V48" s="90" t="str">
        <f t="shared" si="1"/>
        <v>Ruralidad</v>
      </c>
      <c r="W48" s="87" t="s">
        <v>109</v>
      </c>
      <c r="X48" s="87"/>
      <c r="Y48" s="87"/>
      <c r="Z48" s="87"/>
      <c r="AA48" s="87"/>
      <c r="AB48" s="87"/>
      <c r="AC48" s="90" t="str">
        <f t="shared" si="2"/>
        <v>Sumapaz</v>
      </c>
      <c r="AD48" s="87" t="s">
        <v>327</v>
      </c>
      <c r="AE48" s="87"/>
      <c r="AF48" s="87"/>
      <c r="AG48" s="87"/>
      <c r="AH48" s="87"/>
      <c r="AI48" s="87"/>
      <c r="AJ48" s="87"/>
      <c r="AK48" s="87"/>
      <c r="AL48" s="87"/>
      <c r="AM48" s="87"/>
      <c r="AN48" s="90" t="s">
        <v>160</v>
      </c>
      <c r="AO48" s="92" t="s">
        <v>328</v>
      </c>
      <c r="AP48" s="82"/>
      <c r="AQ48" s="87" t="s">
        <v>59</v>
      </c>
      <c r="AR48" s="87" t="s">
        <v>80</v>
      </c>
      <c r="AS48" s="82"/>
      <c r="AT48" s="87">
        <v>21</v>
      </c>
      <c r="AU48" s="87">
        <v>1</v>
      </c>
      <c r="AV48" s="87">
        <f t="shared" si="5"/>
        <v>22</v>
      </c>
      <c r="AW48" s="87" t="str">
        <f t="shared" si="6"/>
        <v>No Aplica</v>
      </c>
      <c r="AX48" s="87" t="s">
        <v>78</v>
      </c>
      <c r="AY48" s="87"/>
      <c r="AZ48" s="87"/>
      <c r="BA48" s="91" t="s">
        <v>329</v>
      </c>
      <c r="BB48" s="84"/>
      <c r="BC48" s="85"/>
      <c r="BD48" s="85"/>
    </row>
    <row r="49" spans="1:56" s="86" customFormat="1" ht="46.5" customHeight="1">
      <c r="A49" s="87">
        <v>44</v>
      </c>
      <c r="B49" s="79" t="s">
        <v>330</v>
      </c>
      <c r="C49" s="88">
        <v>45349</v>
      </c>
      <c r="D49" s="89">
        <v>0.58333333333333337</v>
      </c>
      <c r="E49" s="87" t="s">
        <v>93</v>
      </c>
      <c r="F49" s="87" t="s">
        <v>321</v>
      </c>
      <c r="G49" s="87" t="s">
        <v>95</v>
      </c>
      <c r="H49" s="90" t="s">
        <v>331</v>
      </c>
      <c r="I49" s="90" t="s">
        <v>64</v>
      </c>
      <c r="J49" s="87" t="s">
        <v>70</v>
      </c>
      <c r="K49" s="87" t="s">
        <v>324</v>
      </c>
      <c r="L49" s="90" t="s">
        <v>332</v>
      </c>
      <c r="M49" s="91">
        <v>3160503967</v>
      </c>
      <c r="N49" s="90" t="s">
        <v>333</v>
      </c>
      <c r="O49" s="90" t="str">
        <f t="shared" si="0"/>
        <v>Ciudad Bolívar</v>
      </c>
      <c r="P49" s="87" t="s">
        <v>107</v>
      </c>
      <c r="Q49" s="87"/>
      <c r="R49" s="87"/>
      <c r="S49" s="87"/>
      <c r="T49" s="87"/>
      <c r="U49" s="87"/>
      <c r="V49" s="90" t="str">
        <f t="shared" si="1"/>
        <v>Suroriente, Ruralidad</v>
      </c>
      <c r="W49" s="87" t="s">
        <v>108</v>
      </c>
      <c r="X49" s="87" t="s">
        <v>109</v>
      </c>
      <c r="Y49" s="87"/>
      <c r="Z49" s="87"/>
      <c r="AA49" s="87"/>
      <c r="AB49" s="87"/>
      <c r="AC49" s="90" t="str">
        <f t="shared" si="2"/>
        <v>Arborizadora, Lucero, Cuenca del Tunjuelo</v>
      </c>
      <c r="AD49" s="87" t="s">
        <v>110</v>
      </c>
      <c r="AE49" s="87" t="s">
        <v>111</v>
      </c>
      <c r="AF49" s="87" t="s">
        <v>112</v>
      </c>
      <c r="AG49" s="87"/>
      <c r="AH49" s="87"/>
      <c r="AI49" s="87"/>
      <c r="AJ49" s="87"/>
      <c r="AK49" s="87"/>
      <c r="AL49" s="87"/>
      <c r="AM49" s="87"/>
      <c r="AN49" s="90" t="s">
        <v>160</v>
      </c>
      <c r="AO49" s="92" t="s">
        <v>334</v>
      </c>
      <c r="AP49" s="82"/>
      <c r="AQ49" s="87" t="s">
        <v>59</v>
      </c>
      <c r="AR49" s="87" t="s">
        <v>80</v>
      </c>
      <c r="AS49" s="82"/>
      <c r="AT49" s="87">
        <v>13</v>
      </c>
      <c r="AU49" s="87">
        <v>1</v>
      </c>
      <c r="AV49" s="87">
        <f t="shared" si="5"/>
        <v>14</v>
      </c>
      <c r="AW49" s="87" t="str">
        <f t="shared" si="6"/>
        <v>No Aplica</v>
      </c>
      <c r="AX49" s="87" t="s">
        <v>78</v>
      </c>
      <c r="AY49" s="87"/>
      <c r="AZ49" s="87"/>
      <c r="BA49" s="91" t="s">
        <v>335</v>
      </c>
      <c r="BB49" s="84"/>
      <c r="BC49" s="85"/>
      <c r="BD49" s="85"/>
    </row>
    <row r="50" spans="1:56" s="86" customFormat="1" ht="46.5" customHeight="1">
      <c r="A50" s="78">
        <v>45</v>
      </c>
      <c r="B50" s="79" t="s">
        <v>336</v>
      </c>
      <c r="C50" s="88">
        <v>45349</v>
      </c>
      <c r="D50" s="89">
        <v>0.64583333333333337</v>
      </c>
      <c r="E50" s="87" t="s">
        <v>93</v>
      </c>
      <c r="F50" s="87" t="s">
        <v>102</v>
      </c>
      <c r="G50" s="87" t="s">
        <v>62</v>
      </c>
      <c r="H50" s="90" t="s">
        <v>337</v>
      </c>
      <c r="I50" s="90" t="s">
        <v>188</v>
      </c>
      <c r="J50" s="87" t="s">
        <v>119</v>
      </c>
      <c r="K50" s="87" t="s">
        <v>129</v>
      </c>
      <c r="L50" s="90" t="s">
        <v>341</v>
      </c>
      <c r="M50" s="91" t="s">
        <v>342</v>
      </c>
      <c r="N50" s="90" t="s">
        <v>343</v>
      </c>
      <c r="O50" s="90" t="str">
        <f t="shared" si="0"/>
        <v>Distrital</v>
      </c>
      <c r="P50" s="87" t="s">
        <v>73</v>
      </c>
      <c r="Q50" s="87"/>
      <c r="R50" s="87"/>
      <c r="S50" s="87"/>
      <c r="T50" s="87"/>
      <c r="U50" s="87"/>
      <c r="V50" s="90" t="str">
        <f t="shared" si="1"/>
        <v>Distrital</v>
      </c>
      <c r="W50" s="87" t="s">
        <v>73</v>
      </c>
      <c r="X50" s="87"/>
      <c r="Y50" s="87"/>
      <c r="Z50" s="87"/>
      <c r="AA50" s="87"/>
      <c r="AB50" s="87"/>
      <c r="AC50" s="90" t="str">
        <f t="shared" si="2"/>
        <v>Distrital</v>
      </c>
      <c r="AD50" s="87" t="s">
        <v>73</v>
      </c>
      <c r="AE50" s="87"/>
      <c r="AF50" s="87"/>
      <c r="AG50" s="87"/>
      <c r="AH50" s="87"/>
      <c r="AI50" s="87"/>
      <c r="AJ50" s="87"/>
      <c r="AK50" s="87"/>
      <c r="AL50" s="87"/>
      <c r="AM50" s="87"/>
      <c r="AN50" s="90" t="s">
        <v>160</v>
      </c>
      <c r="AO50" s="90" t="s">
        <v>344</v>
      </c>
      <c r="AP50" s="82"/>
      <c r="AQ50" s="87" t="s">
        <v>59</v>
      </c>
      <c r="AR50" s="87" t="s">
        <v>80</v>
      </c>
      <c r="AS50" s="82"/>
      <c r="AT50" s="87">
        <v>97</v>
      </c>
      <c r="AU50" s="87">
        <v>13</v>
      </c>
      <c r="AV50" s="87">
        <f t="shared" si="5"/>
        <v>110</v>
      </c>
      <c r="AW50" s="87" t="str">
        <f t="shared" si="6"/>
        <v>Lenguaje de señas</v>
      </c>
      <c r="AX50" s="87" t="s">
        <v>211</v>
      </c>
      <c r="AY50" s="87"/>
      <c r="AZ50" s="87"/>
      <c r="BA50" s="91" t="s">
        <v>345</v>
      </c>
      <c r="BB50" s="84"/>
      <c r="BC50" s="85"/>
      <c r="BD50" s="85"/>
    </row>
    <row r="51" spans="1:56" s="86" customFormat="1" ht="46.5" customHeight="1">
      <c r="A51" s="87">
        <v>46</v>
      </c>
      <c r="B51" s="79" t="s">
        <v>346</v>
      </c>
      <c r="C51" s="88">
        <v>45350</v>
      </c>
      <c r="D51" s="89">
        <v>0.375</v>
      </c>
      <c r="E51" s="87" t="s">
        <v>58</v>
      </c>
      <c r="F51" s="87" t="s">
        <v>61</v>
      </c>
      <c r="G51" s="87" t="s">
        <v>62</v>
      </c>
      <c r="H51" s="90" t="s">
        <v>347</v>
      </c>
      <c r="I51" s="90" t="s">
        <v>188</v>
      </c>
      <c r="J51" s="87" t="s">
        <v>119</v>
      </c>
      <c r="K51" s="87" t="s">
        <v>209</v>
      </c>
      <c r="L51" s="90" t="s">
        <v>348</v>
      </c>
      <c r="M51" s="91">
        <v>3114546690</v>
      </c>
      <c r="N51" s="90" t="s">
        <v>349</v>
      </c>
      <c r="O51" s="90" t="str">
        <f t="shared" si="0"/>
        <v>Distrital</v>
      </c>
      <c r="P51" s="87" t="s">
        <v>73</v>
      </c>
      <c r="Q51" s="87"/>
      <c r="R51" s="87"/>
      <c r="S51" s="87"/>
      <c r="T51" s="87"/>
      <c r="U51" s="87"/>
      <c r="V51" s="90" t="str">
        <f t="shared" si="1"/>
        <v>Distrital</v>
      </c>
      <c r="W51" s="87" t="s">
        <v>73</v>
      </c>
      <c r="X51" s="87"/>
      <c r="Y51" s="87"/>
      <c r="Z51" s="87"/>
      <c r="AA51" s="87"/>
      <c r="AB51" s="87"/>
      <c r="AC51" s="90" t="str">
        <f t="shared" si="2"/>
        <v>Distrital</v>
      </c>
      <c r="AD51" s="87" t="s">
        <v>73</v>
      </c>
      <c r="AE51" s="87"/>
      <c r="AF51" s="87"/>
      <c r="AG51" s="87"/>
      <c r="AH51" s="87"/>
      <c r="AI51" s="87"/>
      <c r="AJ51" s="87"/>
      <c r="AK51" s="87"/>
      <c r="AL51" s="87"/>
      <c r="AM51" s="87"/>
      <c r="AN51" s="90" t="s">
        <v>160</v>
      </c>
      <c r="AO51" s="90" t="s">
        <v>350</v>
      </c>
      <c r="AP51" s="82"/>
      <c r="AQ51" s="87" t="s">
        <v>60</v>
      </c>
      <c r="AR51" s="87" t="s">
        <v>77</v>
      </c>
      <c r="AS51" s="82"/>
      <c r="AT51" s="87">
        <v>26</v>
      </c>
      <c r="AU51" s="87">
        <v>2</v>
      </c>
      <c r="AV51" s="87">
        <f t="shared" si="5"/>
        <v>28</v>
      </c>
      <c r="AW51" s="87" t="str">
        <f t="shared" si="6"/>
        <v>No Aplica</v>
      </c>
      <c r="AX51" s="87" t="s">
        <v>78</v>
      </c>
      <c r="AY51" s="87"/>
      <c r="AZ51" s="87"/>
      <c r="BA51" s="91" t="s">
        <v>351</v>
      </c>
      <c r="BB51" s="84"/>
      <c r="BC51" s="85"/>
      <c r="BD51" s="85"/>
    </row>
    <row r="52" spans="1:56" s="86" customFormat="1" ht="46.5" customHeight="1">
      <c r="A52" s="78">
        <v>47</v>
      </c>
      <c r="B52" s="79" t="s">
        <v>352</v>
      </c>
      <c r="C52" s="88">
        <v>45350</v>
      </c>
      <c r="D52" s="89">
        <v>0.54166666666666663</v>
      </c>
      <c r="E52" s="87" t="s">
        <v>353</v>
      </c>
      <c r="F52" s="87" t="s">
        <v>61</v>
      </c>
      <c r="G52" s="87" t="s">
        <v>62</v>
      </c>
      <c r="H52" s="90" t="s">
        <v>354</v>
      </c>
      <c r="I52" s="90" t="s">
        <v>172</v>
      </c>
      <c r="J52" s="87" t="s">
        <v>173</v>
      </c>
      <c r="K52" s="87"/>
      <c r="L52" s="91" t="s">
        <v>72</v>
      </c>
      <c r="M52" s="91" t="s">
        <v>72</v>
      </c>
      <c r="N52" s="91" t="s">
        <v>72</v>
      </c>
      <c r="O52" s="90" t="str">
        <f t="shared" si="0"/>
        <v>Distrital</v>
      </c>
      <c r="P52" s="87" t="s">
        <v>73</v>
      </c>
      <c r="Q52" s="87"/>
      <c r="R52" s="87"/>
      <c r="S52" s="87"/>
      <c r="T52" s="87"/>
      <c r="U52" s="87"/>
      <c r="V52" s="90" t="str">
        <f t="shared" si="1"/>
        <v>Distrital</v>
      </c>
      <c r="W52" s="87" t="s">
        <v>73</v>
      </c>
      <c r="X52" s="87"/>
      <c r="Y52" s="87"/>
      <c r="Z52" s="87"/>
      <c r="AA52" s="87"/>
      <c r="AB52" s="87"/>
      <c r="AC52" s="90" t="str">
        <f t="shared" si="2"/>
        <v>Distrital</v>
      </c>
      <c r="AD52" s="87" t="s">
        <v>73</v>
      </c>
      <c r="AE52" s="87"/>
      <c r="AF52" s="87"/>
      <c r="AG52" s="87"/>
      <c r="AH52" s="87"/>
      <c r="AI52" s="87"/>
      <c r="AJ52" s="87"/>
      <c r="AK52" s="87"/>
      <c r="AL52" s="87"/>
      <c r="AM52" s="87"/>
      <c r="AN52" s="90" t="s">
        <v>160</v>
      </c>
      <c r="AO52" s="90" t="s">
        <v>358</v>
      </c>
      <c r="AP52" s="82"/>
      <c r="AQ52" s="87" t="s">
        <v>60</v>
      </c>
      <c r="AR52" s="87" t="s">
        <v>199</v>
      </c>
      <c r="AS52" s="82"/>
      <c r="AT52" s="87">
        <v>383</v>
      </c>
      <c r="AU52" s="87">
        <v>94</v>
      </c>
      <c r="AV52" s="87">
        <f t="shared" si="5"/>
        <v>477</v>
      </c>
      <c r="AW52" s="87" t="str">
        <f t="shared" si="6"/>
        <v>Lenguaje de señas</v>
      </c>
      <c r="AX52" s="87" t="s">
        <v>211</v>
      </c>
      <c r="AY52" s="87"/>
      <c r="AZ52" s="87"/>
      <c r="BA52" s="91" t="s">
        <v>359</v>
      </c>
      <c r="BB52" s="84"/>
      <c r="BC52" s="85"/>
      <c r="BD52" s="85"/>
    </row>
    <row r="53" spans="1:56" s="86" customFormat="1" ht="46.5" customHeight="1">
      <c r="A53" s="87">
        <v>48</v>
      </c>
      <c r="B53" s="79" t="s">
        <v>360</v>
      </c>
      <c r="C53" s="88">
        <v>45350</v>
      </c>
      <c r="D53" s="89">
        <v>0.66666666666666663</v>
      </c>
      <c r="E53" s="87" t="s">
        <v>58</v>
      </c>
      <c r="F53" s="87" t="s">
        <v>61</v>
      </c>
      <c r="G53" s="87" t="s">
        <v>62</v>
      </c>
      <c r="H53" s="90" t="s">
        <v>361</v>
      </c>
      <c r="I53" s="90" t="s">
        <v>172</v>
      </c>
      <c r="J53" s="87" t="s">
        <v>173</v>
      </c>
      <c r="K53" s="87"/>
      <c r="L53" s="90" t="s">
        <v>363</v>
      </c>
      <c r="M53" s="91" t="s">
        <v>72</v>
      </c>
      <c r="N53" s="90" t="s">
        <v>364</v>
      </c>
      <c r="O53" s="90" t="str">
        <f t="shared" si="0"/>
        <v>Distrital</v>
      </c>
      <c r="P53" s="87" t="s">
        <v>73</v>
      </c>
      <c r="Q53" s="87"/>
      <c r="R53" s="87"/>
      <c r="S53" s="87"/>
      <c r="T53" s="87"/>
      <c r="U53" s="87"/>
      <c r="V53" s="90" t="str">
        <f t="shared" si="1"/>
        <v>Distrital</v>
      </c>
      <c r="W53" s="87" t="s">
        <v>73</v>
      </c>
      <c r="X53" s="87"/>
      <c r="Y53" s="87"/>
      <c r="Z53" s="87"/>
      <c r="AA53" s="87"/>
      <c r="AB53" s="87"/>
      <c r="AC53" s="90" t="str">
        <f t="shared" si="2"/>
        <v>Distrital</v>
      </c>
      <c r="AD53" s="87" t="s">
        <v>73</v>
      </c>
      <c r="AE53" s="87"/>
      <c r="AF53" s="87"/>
      <c r="AG53" s="87"/>
      <c r="AH53" s="87"/>
      <c r="AI53" s="87"/>
      <c r="AJ53" s="87"/>
      <c r="AK53" s="87"/>
      <c r="AL53" s="87"/>
      <c r="AM53" s="87"/>
      <c r="AN53" s="90" t="s">
        <v>160</v>
      </c>
      <c r="AO53" s="90" t="s">
        <v>365</v>
      </c>
      <c r="AP53" s="82"/>
      <c r="AQ53" s="87" t="s">
        <v>60</v>
      </c>
      <c r="AR53" s="87" t="s">
        <v>199</v>
      </c>
      <c r="AS53" s="82"/>
      <c r="AT53" s="87">
        <v>137</v>
      </c>
      <c r="AU53" s="87">
        <v>15</v>
      </c>
      <c r="AV53" s="87">
        <f t="shared" si="5"/>
        <v>152</v>
      </c>
      <c r="AW53" s="87" t="str">
        <f t="shared" si="6"/>
        <v>Ninguna</v>
      </c>
      <c r="AX53" s="87" t="s">
        <v>75</v>
      </c>
      <c r="AY53" s="87"/>
      <c r="AZ53" s="87"/>
      <c r="BA53" s="91" t="s">
        <v>366</v>
      </c>
      <c r="BB53" s="84"/>
      <c r="BC53" s="85"/>
      <c r="BD53" s="85"/>
    </row>
    <row r="54" spans="1:56" s="86" customFormat="1" ht="46.5" customHeight="1">
      <c r="A54" s="78">
        <v>49</v>
      </c>
      <c r="B54" s="79" t="s">
        <v>367</v>
      </c>
      <c r="C54" s="88">
        <v>45351</v>
      </c>
      <c r="D54" s="89">
        <v>0.33333333333333331</v>
      </c>
      <c r="E54" s="87" t="s">
        <v>58</v>
      </c>
      <c r="F54" s="87" t="s">
        <v>149</v>
      </c>
      <c r="G54" s="87" t="s">
        <v>62</v>
      </c>
      <c r="H54" s="90" t="s">
        <v>368</v>
      </c>
      <c r="I54" s="90" t="s">
        <v>64</v>
      </c>
      <c r="J54" s="87" t="s">
        <v>70</v>
      </c>
      <c r="K54" s="87" t="s">
        <v>104</v>
      </c>
      <c r="L54" s="90" t="s">
        <v>369</v>
      </c>
      <c r="M54" s="90" t="s">
        <v>72</v>
      </c>
      <c r="N54" s="90" t="s">
        <v>72</v>
      </c>
      <c r="O54" s="90" t="str">
        <f t="shared" si="0"/>
        <v>San Cristóbal</v>
      </c>
      <c r="P54" s="87" t="s">
        <v>370</v>
      </c>
      <c r="Q54" s="87"/>
      <c r="R54" s="87"/>
      <c r="S54" s="87"/>
      <c r="T54" s="87"/>
      <c r="U54" s="87"/>
      <c r="V54" s="90" t="str">
        <f t="shared" si="1"/>
        <v>Suroriente</v>
      </c>
      <c r="W54" s="87" t="s">
        <v>108</v>
      </c>
      <c r="X54" s="87"/>
      <c r="Y54" s="87"/>
      <c r="Z54" s="87"/>
      <c r="AA54" s="87"/>
      <c r="AB54" s="87"/>
      <c r="AC54" s="90" t="str">
        <f t="shared" si="2"/>
        <v>San Cristobal</v>
      </c>
      <c r="AD54" s="87" t="s">
        <v>371</v>
      </c>
      <c r="AE54" s="87"/>
      <c r="AF54" s="87"/>
      <c r="AG54" s="87"/>
      <c r="AH54" s="87"/>
      <c r="AI54" s="87"/>
      <c r="AJ54" s="87"/>
      <c r="AK54" s="87"/>
      <c r="AL54" s="87"/>
      <c r="AM54" s="87"/>
      <c r="AN54" s="90" t="s">
        <v>160</v>
      </c>
      <c r="AO54" s="90" t="s">
        <v>372</v>
      </c>
      <c r="AP54" s="82"/>
      <c r="AQ54" s="87" t="s">
        <v>59</v>
      </c>
      <c r="AR54" s="87" t="s">
        <v>80</v>
      </c>
      <c r="AS54" s="82"/>
      <c r="AT54" s="87">
        <v>12</v>
      </c>
      <c r="AU54" s="87">
        <v>1</v>
      </c>
      <c r="AV54" s="87">
        <f t="shared" si="5"/>
        <v>13</v>
      </c>
      <c r="AW54" s="87" t="str">
        <f t="shared" si="6"/>
        <v>No Aplica</v>
      </c>
      <c r="AX54" s="87" t="s">
        <v>78</v>
      </c>
      <c r="AY54" s="87"/>
      <c r="AZ54" s="87"/>
      <c r="BA54" s="91" t="s">
        <v>373</v>
      </c>
      <c r="BB54" s="84"/>
      <c r="BC54" s="85"/>
      <c r="BD54" s="85"/>
    </row>
    <row r="55" spans="1:56" s="86" customFormat="1" ht="46.5" customHeight="1">
      <c r="A55" s="87">
        <v>50</v>
      </c>
      <c r="B55" s="79" t="s">
        <v>374</v>
      </c>
      <c r="C55" s="88">
        <v>45351</v>
      </c>
      <c r="D55" s="89">
        <v>0.375</v>
      </c>
      <c r="E55" s="87" t="s">
        <v>58</v>
      </c>
      <c r="F55" s="87" t="s">
        <v>61</v>
      </c>
      <c r="G55" s="87" t="s">
        <v>95</v>
      </c>
      <c r="H55" s="90" t="s">
        <v>375</v>
      </c>
      <c r="I55" s="90" t="s">
        <v>64</v>
      </c>
      <c r="J55" s="87" t="s">
        <v>376</v>
      </c>
      <c r="K55" s="87" t="s">
        <v>71</v>
      </c>
      <c r="L55" s="90" t="s">
        <v>72</v>
      </c>
      <c r="M55" s="90" t="s">
        <v>72</v>
      </c>
      <c r="N55" s="90" t="s">
        <v>72</v>
      </c>
      <c r="O55" s="90" t="str">
        <f t="shared" si="0"/>
        <v>Distrital</v>
      </c>
      <c r="P55" s="87" t="s">
        <v>73</v>
      </c>
      <c r="Q55" s="87"/>
      <c r="R55" s="87"/>
      <c r="S55" s="87"/>
      <c r="T55" s="87"/>
      <c r="U55" s="87"/>
      <c r="V55" s="90" t="str">
        <f t="shared" si="1"/>
        <v>Distrital</v>
      </c>
      <c r="W55" s="87" t="s">
        <v>73</v>
      </c>
      <c r="X55" s="87"/>
      <c r="Y55" s="87"/>
      <c r="Z55" s="87"/>
      <c r="AA55" s="87"/>
      <c r="AB55" s="87"/>
      <c r="AC55" s="90" t="str">
        <f t="shared" si="2"/>
        <v>Distrital</v>
      </c>
      <c r="AD55" s="87" t="s">
        <v>73</v>
      </c>
      <c r="AE55" s="87"/>
      <c r="AF55" s="87"/>
      <c r="AG55" s="87"/>
      <c r="AH55" s="87"/>
      <c r="AI55" s="87"/>
      <c r="AJ55" s="87"/>
      <c r="AK55" s="87"/>
      <c r="AL55" s="87"/>
      <c r="AM55" s="87"/>
      <c r="AN55" s="90" t="s">
        <v>160</v>
      </c>
      <c r="AO55" s="92" t="s">
        <v>377</v>
      </c>
      <c r="AP55" s="82"/>
      <c r="AQ55" s="87" t="s">
        <v>60</v>
      </c>
      <c r="AR55" s="87" t="s">
        <v>77</v>
      </c>
      <c r="AS55" s="82"/>
      <c r="AT55" s="87">
        <v>289</v>
      </c>
      <c r="AU55" s="87">
        <v>7</v>
      </c>
      <c r="AV55" s="87">
        <f t="shared" si="5"/>
        <v>296</v>
      </c>
      <c r="AW55" s="87" t="str">
        <f t="shared" si="6"/>
        <v>No Aplica</v>
      </c>
      <c r="AX55" s="87" t="s">
        <v>78</v>
      </c>
      <c r="AY55" s="87"/>
      <c r="AZ55" s="87"/>
      <c r="BA55" s="91" t="s">
        <v>378</v>
      </c>
      <c r="BB55" s="84"/>
      <c r="BC55" s="85"/>
      <c r="BD55" s="85"/>
    </row>
    <row r="56" spans="1:56" s="86" customFormat="1" ht="46.5" customHeight="1">
      <c r="A56" s="78">
        <v>51</v>
      </c>
      <c r="B56" s="79" t="s">
        <v>379</v>
      </c>
      <c r="C56" s="88">
        <v>45351</v>
      </c>
      <c r="D56" s="89">
        <v>0.39583333333333331</v>
      </c>
      <c r="E56" s="87" t="s">
        <v>58</v>
      </c>
      <c r="F56" s="87" t="s">
        <v>61</v>
      </c>
      <c r="G56" s="87" t="s">
        <v>95</v>
      </c>
      <c r="H56" s="90" t="s">
        <v>375</v>
      </c>
      <c r="I56" s="90" t="s">
        <v>64</v>
      </c>
      <c r="J56" s="87" t="s">
        <v>70</v>
      </c>
      <c r="K56" s="87" t="s">
        <v>71</v>
      </c>
      <c r="L56" s="91" t="s">
        <v>380</v>
      </c>
      <c r="M56" s="91">
        <v>3143480013</v>
      </c>
      <c r="N56" s="91" t="s">
        <v>381</v>
      </c>
      <c r="O56" s="90" t="str">
        <f t="shared" si="0"/>
        <v>Distrital</v>
      </c>
      <c r="P56" s="87" t="s">
        <v>73</v>
      </c>
      <c r="Q56" s="87"/>
      <c r="R56" s="87"/>
      <c r="S56" s="87"/>
      <c r="T56" s="87"/>
      <c r="U56" s="87"/>
      <c r="V56" s="90" t="str">
        <f t="shared" si="1"/>
        <v>Distrital</v>
      </c>
      <c r="W56" s="87" t="s">
        <v>73</v>
      </c>
      <c r="X56" s="87"/>
      <c r="Y56" s="87"/>
      <c r="Z56" s="87"/>
      <c r="AA56" s="87"/>
      <c r="AB56" s="87"/>
      <c r="AC56" s="90" t="str">
        <f t="shared" si="2"/>
        <v>Distrital</v>
      </c>
      <c r="AD56" s="87" t="s">
        <v>73</v>
      </c>
      <c r="AE56" s="87"/>
      <c r="AF56" s="87"/>
      <c r="AG56" s="87"/>
      <c r="AH56" s="87"/>
      <c r="AI56" s="87"/>
      <c r="AJ56" s="87"/>
      <c r="AK56" s="87"/>
      <c r="AL56" s="87"/>
      <c r="AM56" s="87"/>
      <c r="AN56" s="90" t="s">
        <v>160</v>
      </c>
      <c r="AO56" s="92" t="s">
        <v>382</v>
      </c>
      <c r="AP56" s="82"/>
      <c r="AQ56" s="87" t="s">
        <v>60</v>
      </c>
      <c r="AR56" s="87" t="s">
        <v>77</v>
      </c>
      <c r="AS56" s="82"/>
      <c r="AT56" s="87">
        <v>183</v>
      </c>
      <c r="AU56" s="87">
        <v>1</v>
      </c>
      <c r="AV56" s="87">
        <f t="shared" si="5"/>
        <v>184</v>
      </c>
      <c r="AW56" s="87" t="str">
        <f t="shared" si="6"/>
        <v>Horarios Acordes, Contenidos adaptados</v>
      </c>
      <c r="AX56" s="87" t="s">
        <v>213</v>
      </c>
      <c r="AY56" s="87" t="s">
        <v>212</v>
      </c>
      <c r="AZ56" s="87"/>
      <c r="BA56" s="91" t="s">
        <v>383</v>
      </c>
      <c r="BB56" s="84"/>
      <c r="BC56" s="85"/>
      <c r="BD56" s="85"/>
    </row>
    <row r="57" spans="1:56" s="86" customFormat="1" ht="46.5" customHeight="1">
      <c r="A57" s="87">
        <v>52</v>
      </c>
      <c r="B57" s="79" t="s">
        <v>384</v>
      </c>
      <c r="C57" s="88">
        <v>45351</v>
      </c>
      <c r="D57" s="89">
        <v>0.45833333333333331</v>
      </c>
      <c r="E57" s="87" t="s">
        <v>58</v>
      </c>
      <c r="F57" s="87" t="s">
        <v>61</v>
      </c>
      <c r="G57" s="87" t="s">
        <v>95</v>
      </c>
      <c r="H57" s="90" t="s">
        <v>385</v>
      </c>
      <c r="I57" s="90" t="s">
        <v>64</v>
      </c>
      <c r="J57" s="87" t="s">
        <v>70</v>
      </c>
      <c r="K57" s="87" t="s">
        <v>71</v>
      </c>
      <c r="L57" s="90" t="s">
        <v>348</v>
      </c>
      <c r="M57" s="91">
        <v>3114546690</v>
      </c>
      <c r="N57" s="90" t="s">
        <v>349</v>
      </c>
      <c r="O57" s="90" t="str">
        <f t="shared" si="0"/>
        <v>Distrital</v>
      </c>
      <c r="P57" s="87" t="s">
        <v>73</v>
      </c>
      <c r="Q57" s="87"/>
      <c r="R57" s="87"/>
      <c r="S57" s="87"/>
      <c r="T57" s="87"/>
      <c r="U57" s="87"/>
      <c r="V57" s="90" t="str">
        <f t="shared" si="1"/>
        <v>Distrital</v>
      </c>
      <c r="W57" s="87" t="s">
        <v>73</v>
      </c>
      <c r="X57" s="87"/>
      <c r="Y57" s="87"/>
      <c r="Z57" s="87"/>
      <c r="AA57" s="87"/>
      <c r="AB57" s="87"/>
      <c r="AC57" s="90" t="str">
        <f t="shared" si="2"/>
        <v>Distrital</v>
      </c>
      <c r="AD57" s="87" t="s">
        <v>73</v>
      </c>
      <c r="AE57" s="87"/>
      <c r="AF57" s="87"/>
      <c r="AG57" s="87"/>
      <c r="AH57" s="87"/>
      <c r="AI57" s="87"/>
      <c r="AJ57" s="87"/>
      <c r="AK57" s="87"/>
      <c r="AL57" s="87"/>
      <c r="AM57" s="87"/>
      <c r="AN57" s="90" t="s">
        <v>160</v>
      </c>
      <c r="AO57" s="92" t="s">
        <v>386</v>
      </c>
      <c r="AP57" s="82"/>
      <c r="AQ57" s="87" t="s">
        <v>60</v>
      </c>
      <c r="AR57" s="87" t="s">
        <v>77</v>
      </c>
      <c r="AS57" s="82"/>
      <c r="AT57" s="87">
        <v>3</v>
      </c>
      <c r="AU57" s="87">
        <v>4</v>
      </c>
      <c r="AV57" s="87">
        <f t="shared" si="5"/>
        <v>7</v>
      </c>
      <c r="AW57" s="87" t="str">
        <f t="shared" si="6"/>
        <v>No Aplica</v>
      </c>
      <c r="AX57" s="87" t="s">
        <v>78</v>
      </c>
      <c r="AY57" s="87"/>
      <c r="AZ57" s="87"/>
      <c r="BA57" s="91" t="s">
        <v>387</v>
      </c>
      <c r="BB57" s="84"/>
      <c r="BC57" s="85"/>
      <c r="BD57" s="85"/>
    </row>
    <row r="58" spans="1:56" s="86" customFormat="1" ht="46.5" customHeight="1">
      <c r="A58" s="78">
        <v>53</v>
      </c>
      <c r="B58" s="79" t="s">
        <v>388</v>
      </c>
      <c r="C58" s="88">
        <v>45351</v>
      </c>
      <c r="D58" s="89">
        <v>0.60416666666666663</v>
      </c>
      <c r="E58" s="87" t="s">
        <v>93</v>
      </c>
      <c r="F58" s="87" t="s">
        <v>94</v>
      </c>
      <c r="G58" s="87" t="s">
        <v>95</v>
      </c>
      <c r="H58" s="90" t="s">
        <v>389</v>
      </c>
      <c r="I58" s="90" t="s">
        <v>64</v>
      </c>
      <c r="J58" s="87" t="s">
        <v>70</v>
      </c>
      <c r="K58" s="87" t="s">
        <v>97</v>
      </c>
      <c r="L58" s="90" t="s">
        <v>98</v>
      </c>
      <c r="M58" s="91" t="s">
        <v>99</v>
      </c>
      <c r="N58" s="90" t="s">
        <v>99</v>
      </c>
      <c r="O58" s="90" t="str">
        <f t="shared" si="0"/>
        <v>Distrital</v>
      </c>
      <c r="P58" s="87" t="s">
        <v>73</v>
      </c>
      <c r="Q58" s="87"/>
      <c r="R58" s="87"/>
      <c r="S58" s="87"/>
      <c r="T58" s="87"/>
      <c r="U58" s="87"/>
      <c r="V58" s="90" t="str">
        <f t="shared" si="1"/>
        <v>Distrital</v>
      </c>
      <c r="W58" s="87" t="s">
        <v>73</v>
      </c>
      <c r="X58" s="87"/>
      <c r="Y58" s="87"/>
      <c r="Z58" s="87"/>
      <c r="AA58" s="87"/>
      <c r="AB58" s="87"/>
      <c r="AC58" s="90" t="str">
        <f t="shared" si="2"/>
        <v>Distrital</v>
      </c>
      <c r="AD58" s="87" t="s">
        <v>73</v>
      </c>
      <c r="AE58" s="87"/>
      <c r="AF58" s="87"/>
      <c r="AG58" s="87"/>
      <c r="AH58" s="87"/>
      <c r="AI58" s="87"/>
      <c r="AJ58" s="87"/>
      <c r="AK58" s="87"/>
      <c r="AL58" s="87"/>
      <c r="AM58" s="87"/>
      <c r="AN58" s="90" t="s">
        <v>160</v>
      </c>
      <c r="AO58" s="90" t="s">
        <v>72</v>
      </c>
      <c r="AP58" s="82"/>
      <c r="AQ58" s="87" t="s">
        <v>59</v>
      </c>
      <c r="AR58" s="87" t="s">
        <v>80</v>
      </c>
      <c r="AS58" s="82"/>
      <c r="AT58" s="87">
        <v>6</v>
      </c>
      <c r="AU58" s="87">
        <v>1</v>
      </c>
      <c r="AV58" s="87">
        <f t="shared" si="5"/>
        <v>7</v>
      </c>
      <c r="AW58" s="87" t="str">
        <f t="shared" si="6"/>
        <v>No Aplica</v>
      </c>
      <c r="AX58" s="87" t="s">
        <v>78</v>
      </c>
      <c r="AY58" s="87"/>
      <c r="AZ58" s="87"/>
      <c r="BA58" s="91" t="s">
        <v>390</v>
      </c>
      <c r="BB58" s="84"/>
      <c r="BC58" s="85"/>
      <c r="BD58" s="85"/>
    </row>
    <row r="59" spans="1:56" s="86" customFormat="1" ht="46.5" customHeight="1">
      <c r="A59" s="87">
        <v>54</v>
      </c>
      <c r="B59" s="79" t="s">
        <v>391</v>
      </c>
      <c r="C59" s="88">
        <v>45352</v>
      </c>
      <c r="D59" s="89">
        <v>0.625</v>
      </c>
      <c r="E59" s="87" t="s">
        <v>58</v>
      </c>
      <c r="F59" s="87" t="s">
        <v>61</v>
      </c>
      <c r="G59" s="87" t="s">
        <v>62</v>
      </c>
      <c r="H59" s="90" t="s">
        <v>392</v>
      </c>
      <c r="I59" s="90" t="s">
        <v>172</v>
      </c>
      <c r="J59" s="87" t="s">
        <v>173</v>
      </c>
      <c r="K59" s="87"/>
      <c r="L59" s="90" t="s">
        <v>72</v>
      </c>
      <c r="M59" s="90" t="s">
        <v>72</v>
      </c>
      <c r="N59" s="90" t="s">
        <v>72</v>
      </c>
      <c r="O59" s="90" t="str">
        <f t="shared" si="0"/>
        <v>Suba</v>
      </c>
      <c r="P59" s="87" t="s">
        <v>394</v>
      </c>
      <c r="Q59" s="87"/>
      <c r="R59" s="87"/>
      <c r="S59" s="87"/>
      <c r="T59" s="87"/>
      <c r="U59" s="87"/>
      <c r="V59" s="90" t="str">
        <f t="shared" si="1"/>
        <v>Noroccidente</v>
      </c>
      <c r="W59" s="87" t="s">
        <v>395</v>
      </c>
      <c r="X59" s="87"/>
      <c r="Y59" s="87"/>
      <c r="Z59" s="87"/>
      <c r="AA59" s="87"/>
      <c r="AB59" s="87"/>
      <c r="AC59" s="90" t="str">
        <f t="shared" si="2"/>
        <v>Suba Rincón</v>
      </c>
      <c r="AD59" s="87" t="s">
        <v>396</v>
      </c>
      <c r="AE59" s="87"/>
      <c r="AF59" s="87"/>
      <c r="AG59" s="87"/>
      <c r="AH59" s="87"/>
      <c r="AI59" s="87"/>
      <c r="AJ59" s="87"/>
      <c r="AK59" s="87"/>
      <c r="AL59" s="87"/>
      <c r="AM59" s="87"/>
      <c r="AN59" s="90" t="s">
        <v>160</v>
      </c>
      <c r="AO59" s="90" t="s">
        <v>397</v>
      </c>
      <c r="AP59" s="82"/>
      <c r="AQ59" s="87" t="s">
        <v>60</v>
      </c>
      <c r="AR59" s="87" t="s">
        <v>398</v>
      </c>
      <c r="AS59" s="82"/>
      <c r="AT59" s="87">
        <v>58</v>
      </c>
      <c r="AU59" s="87">
        <v>13</v>
      </c>
      <c r="AV59" s="87">
        <f t="shared" si="5"/>
        <v>71</v>
      </c>
      <c r="AW59" s="87" t="str">
        <f t="shared" si="6"/>
        <v>Lenguaje de señas, Horarios Acordes, Accesibilidad Universal</v>
      </c>
      <c r="AX59" s="87" t="s">
        <v>211</v>
      </c>
      <c r="AY59" s="87" t="s">
        <v>213</v>
      </c>
      <c r="AZ59" s="87" t="s">
        <v>246</v>
      </c>
      <c r="BA59" s="91" t="s">
        <v>399</v>
      </c>
      <c r="BB59" s="84"/>
      <c r="BC59" s="85"/>
      <c r="BD59" s="85"/>
    </row>
    <row r="60" spans="1:56" s="86" customFormat="1" ht="46.5" customHeight="1">
      <c r="A60" s="78">
        <v>55</v>
      </c>
      <c r="B60" s="79" t="s">
        <v>400</v>
      </c>
      <c r="C60" s="88">
        <v>45352</v>
      </c>
      <c r="D60" s="89">
        <v>0.64583333333333337</v>
      </c>
      <c r="E60" s="87" t="s">
        <v>58</v>
      </c>
      <c r="F60" s="87" t="s">
        <v>61</v>
      </c>
      <c r="G60" s="87" t="s">
        <v>62</v>
      </c>
      <c r="H60" s="90" t="s">
        <v>401</v>
      </c>
      <c r="I60" s="90" t="s">
        <v>188</v>
      </c>
      <c r="J60" s="87" t="s">
        <v>119</v>
      </c>
      <c r="K60" s="87" t="s">
        <v>209</v>
      </c>
      <c r="L60" s="90" t="s">
        <v>402</v>
      </c>
      <c r="M60" s="91" t="s">
        <v>72</v>
      </c>
      <c r="N60" s="90" t="s">
        <v>72</v>
      </c>
      <c r="O60" s="90" t="str">
        <f t="shared" si="0"/>
        <v>Distrital</v>
      </c>
      <c r="P60" s="87" t="s">
        <v>73</v>
      </c>
      <c r="Q60" s="87"/>
      <c r="R60" s="87"/>
      <c r="S60" s="87"/>
      <c r="T60" s="87"/>
      <c r="U60" s="87"/>
      <c r="V60" s="90" t="str">
        <f t="shared" si="1"/>
        <v>Distrital</v>
      </c>
      <c r="W60" s="87" t="s">
        <v>73</v>
      </c>
      <c r="X60" s="87"/>
      <c r="Y60" s="87"/>
      <c r="Z60" s="87"/>
      <c r="AA60" s="87"/>
      <c r="AB60" s="87"/>
      <c r="AC60" s="90" t="str">
        <f t="shared" si="2"/>
        <v>Distrital</v>
      </c>
      <c r="AD60" s="87" t="s">
        <v>73</v>
      </c>
      <c r="AE60" s="87"/>
      <c r="AF60" s="87"/>
      <c r="AG60" s="87"/>
      <c r="AH60" s="87"/>
      <c r="AI60" s="87"/>
      <c r="AJ60" s="87"/>
      <c r="AK60" s="87"/>
      <c r="AL60" s="87"/>
      <c r="AM60" s="87"/>
      <c r="AN60" s="90" t="s">
        <v>160</v>
      </c>
      <c r="AO60" s="90" t="s">
        <v>403</v>
      </c>
      <c r="AP60" s="82"/>
      <c r="AQ60" s="87" t="s">
        <v>60</v>
      </c>
      <c r="AR60" s="87" t="s">
        <v>77</v>
      </c>
      <c r="AS60" s="82"/>
      <c r="AT60" s="87">
        <v>18</v>
      </c>
      <c r="AU60" s="87">
        <v>2</v>
      </c>
      <c r="AV60" s="87">
        <f t="shared" si="5"/>
        <v>20</v>
      </c>
      <c r="AW60" s="87" t="str">
        <f t="shared" si="6"/>
        <v>No Aplica</v>
      </c>
      <c r="AX60" s="87" t="s">
        <v>78</v>
      </c>
      <c r="AY60" s="87"/>
      <c r="AZ60" s="87"/>
      <c r="BA60" s="91" t="s">
        <v>404</v>
      </c>
      <c r="BB60" s="84"/>
      <c r="BC60" s="85"/>
      <c r="BD60" s="85"/>
    </row>
    <row r="61" spans="1:56" s="86" customFormat="1" ht="46.5" customHeight="1">
      <c r="A61" s="87">
        <v>56</v>
      </c>
      <c r="B61" s="79" t="s">
        <v>405</v>
      </c>
      <c r="C61" s="88">
        <v>45352</v>
      </c>
      <c r="D61" s="89">
        <v>0.75</v>
      </c>
      <c r="E61" s="87" t="s">
        <v>93</v>
      </c>
      <c r="F61" s="87" t="s">
        <v>102</v>
      </c>
      <c r="G61" s="87" t="s">
        <v>95</v>
      </c>
      <c r="H61" s="90" t="s">
        <v>406</v>
      </c>
      <c r="I61" s="90" t="s">
        <v>118</v>
      </c>
      <c r="J61" s="87" t="s">
        <v>119</v>
      </c>
      <c r="K61" s="87" t="s">
        <v>129</v>
      </c>
      <c r="L61" s="90" t="s">
        <v>407</v>
      </c>
      <c r="M61" s="91">
        <v>3188799909</v>
      </c>
      <c r="N61" s="90" t="s">
        <v>72</v>
      </c>
      <c r="O61" s="90" t="str">
        <f t="shared" si="0"/>
        <v>Distrital</v>
      </c>
      <c r="P61" s="87" t="s">
        <v>73</v>
      </c>
      <c r="Q61" s="87"/>
      <c r="R61" s="87"/>
      <c r="S61" s="87"/>
      <c r="T61" s="87"/>
      <c r="U61" s="87"/>
      <c r="V61" s="90" t="str">
        <f t="shared" si="1"/>
        <v>Distrital</v>
      </c>
      <c r="W61" s="87" t="s">
        <v>73</v>
      </c>
      <c r="X61" s="87"/>
      <c r="Y61" s="87"/>
      <c r="Z61" s="87"/>
      <c r="AA61" s="87"/>
      <c r="AB61" s="87"/>
      <c r="AC61" s="90" t="str">
        <f t="shared" si="2"/>
        <v>Distrital</v>
      </c>
      <c r="AD61" s="87" t="s">
        <v>73</v>
      </c>
      <c r="AE61" s="87"/>
      <c r="AF61" s="87"/>
      <c r="AG61" s="87"/>
      <c r="AH61" s="87"/>
      <c r="AI61" s="87"/>
      <c r="AJ61" s="87"/>
      <c r="AK61" s="87"/>
      <c r="AL61" s="87"/>
      <c r="AM61" s="87"/>
      <c r="AN61" s="90" t="s">
        <v>160</v>
      </c>
      <c r="AO61" s="92" t="s">
        <v>408</v>
      </c>
      <c r="AP61" s="82"/>
      <c r="AQ61" s="87" t="s">
        <v>59</v>
      </c>
      <c r="AR61" s="87" t="s">
        <v>80</v>
      </c>
      <c r="AS61" s="82"/>
      <c r="AT61" s="87">
        <v>86</v>
      </c>
      <c r="AU61" s="87">
        <v>2</v>
      </c>
      <c r="AV61" s="87">
        <f t="shared" si="5"/>
        <v>88</v>
      </c>
      <c r="AW61" s="87" t="str">
        <f t="shared" si="6"/>
        <v>No Aplica</v>
      </c>
      <c r="AX61" s="87" t="s">
        <v>78</v>
      </c>
      <c r="AY61" s="87"/>
      <c r="AZ61" s="87"/>
      <c r="BA61" s="91" t="s">
        <v>409</v>
      </c>
      <c r="BB61" s="84"/>
      <c r="BC61" s="85"/>
      <c r="BD61" s="85"/>
    </row>
    <row r="62" spans="1:56" s="86" customFormat="1" ht="46.5" customHeight="1">
      <c r="A62" s="78">
        <v>57</v>
      </c>
      <c r="B62" s="79" t="s">
        <v>410</v>
      </c>
      <c r="C62" s="88">
        <v>45353</v>
      </c>
      <c r="D62" s="89">
        <v>0.375</v>
      </c>
      <c r="E62" s="87" t="s">
        <v>58</v>
      </c>
      <c r="F62" s="87" t="s">
        <v>61</v>
      </c>
      <c r="G62" s="87" t="s">
        <v>62</v>
      </c>
      <c r="H62" s="90" t="s">
        <v>392</v>
      </c>
      <c r="I62" s="90" t="s">
        <v>172</v>
      </c>
      <c r="J62" s="87" t="s">
        <v>173</v>
      </c>
      <c r="K62" s="87"/>
      <c r="L62" s="90" t="s">
        <v>72</v>
      </c>
      <c r="M62" s="90" t="s">
        <v>72</v>
      </c>
      <c r="N62" s="90" t="s">
        <v>72</v>
      </c>
      <c r="O62" s="90" t="str">
        <f t="shared" si="0"/>
        <v>Antonio Nariño, Rafael Uribe Uribe</v>
      </c>
      <c r="P62" s="87" t="s">
        <v>413</v>
      </c>
      <c r="Q62" s="87" t="s">
        <v>414</v>
      </c>
      <c r="R62" s="87"/>
      <c r="S62" s="87"/>
      <c r="T62" s="87"/>
      <c r="U62" s="87"/>
      <c r="V62" s="90" t="str">
        <f t="shared" si="1"/>
        <v>Centro Ampliado</v>
      </c>
      <c r="W62" s="87" t="s">
        <v>415</v>
      </c>
      <c r="X62" s="87"/>
      <c r="Y62" s="87"/>
      <c r="Z62" s="87"/>
      <c r="AA62" s="87"/>
      <c r="AB62" s="87"/>
      <c r="AC62" s="90" t="str">
        <f t="shared" si="2"/>
        <v>Restrepo</v>
      </c>
      <c r="AD62" s="87" t="s">
        <v>416</v>
      </c>
      <c r="AE62" s="87"/>
      <c r="AF62" s="87"/>
      <c r="AG62" s="87"/>
      <c r="AH62" s="87"/>
      <c r="AI62" s="87"/>
      <c r="AJ62" s="87"/>
      <c r="AK62" s="87"/>
      <c r="AL62" s="87"/>
      <c r="AM62" s="87"/>
      <c r="AN62" s="90" t="s">
        <v>160</v>
      </c>
      <c r="AO62" s="90" t="s">
        <v>417</v>
      </c>
      <c r="AP62" s="82"/>
      <c r="AQ62" s="87" t="s">
        <v>60</v>
      </c>
      <c r="AR62" s="87" t="s">
        <v>398</v>
      </c>
      <c r="AS62" s="82"/>
      <c r="AT62" s="87">
        <v>55</v>
      </c>
      <c r="AU62" s="87">
        <v>14</v>
      </c>
      <c r="AV62" s="87">
        <f t="shared" si="5"/>
        <v>69</v>
      </c>
      <c r="AW62" s="87" t="str">
        <f t="shared" si="6"/>
        <v>Horarios Acordes, Lenguaje de señas</v>
      </c>
      <c r="AX62" s="87" t="s">
        <v>213</v>
      </c>
      <c r="AY62" s="87" t="s">
        <v>211</v>
      </c>
      <c r="AZ62" s="87"/>
      <c r="BA62" s="91" t="s">
        <v>399</v>
      </c>
      <c r="BB62" s="84"/>
      <c r="BC62" s="85"/>
      <c r="BD62" s="85"/>
    </row>
    <row r="63" spans="1:56" s="86" customFormat="1" ht="46.5" customHeight="1">
      <c r="A63" s="87">
        <v>58</v>
      </c>
      <c r="B63" s="79" t="s">
        <v>418</v>
      </c>
      <c r="C63" s="88">
        <v>45353</v>
      </c>
      <c r="D63" s="89">
        <v>0.375</v>
      </c>
      <c r="E63" s="87" t="s">
        <v>58</v>
      </c>
      <c r="F63" s="87" t="s">
        <v>61</v>
      </c>
      <c r="G63" s="87" t="s">
        <v>62</v>
      </c>
      <c r="H63" s="90" t="s">
        <v>392</v>
      </c>
      <c r="I63" s="90" t="s">
        <v>172</v>
      </c>
      <c r="J63" s="87" t="s">
        <v>173</v>
      </c>
      <c r="K63" s="87"/>
      <c r="L63" s="90" t="s">
        <v>72</v>
      </c>
      <c r="M63" s="90" t="s">
        <v>72</v>
      </c>
      <c r="N63" s="90" t="s">
        <v>72</v>
      </c>
      <c r="O63" s="90" t="str">
        <f t="shared" si="0"/>
        <v>Fontibón</v>
      </c>
      <c r="P63" s="87" t="s">
        <v>420</v>
      </c>
      <c r="Q63" s="87"/>
      <c r="R63" s="87"/>
      <c r="S63" s="87"/>
      <c r="T63" s="87"/>
      <c r="U63" s="87"/>
      <c r="V63" s="90" t="str">
        <f t="shared" si="1"/>
        <v>Occidente</v>
      </c>
      <c r="W63" s="87" t="s">
        <v>124</v>
      </c>
      <c r="X63" s="87"/>
      <c r="Y63" s="87"/>
      <c r="Z63" s="87"/>
      <c r="AA63" s="87"/>
      <c r="AB63" s="87"/>
      <c r="AC63" s="90" t="str">
        <f t="shared" si="2"/>
        <v>Fontibón</v>
      </c>
      <c r="AD63" s="87" t="s">
        <v>420</v>
      </c>
      <c r="AE63" s="87"/>
      <c r="AF63" s="87"/>
      <c r="AG63" s="87"/>
      <c r="AH63" s="87"/>
      <c r="AI63" s="87"/>
      <c r="AJ63" s="87"/>
      <c r="AK63" s="87"/>
      <c r="AL63" s="87"/>
      <c r="AM63" s="87"/>
      <c r="AN63" s="90" t="s">
        <v>160</v>
      </c>
      <c r="AO63" s="90" t="s">
        <v>421</v>
      </c>
      <c r="AP63" s="82"/>
      <c r="AQ63" s="87" t="s">
        <v>60</v>
      </c>
      <c r="AR63" s="87" t="s">
        <v>398</v>
      </c>
      <c r="AS63" s="82"/>
      <c r="AT63" s="87">
        <v>50</v>
      </c>
      <c r="AU63" s="87">
        <v>13</v>
      </c>
      <c r="AV63" s="87">
        <f t="shared" si="5"/>
        <v>63</v>
      </c>
      <c r="AW63" s="87" t="str">
        <f t="shared" si="6"/>
        <v>Accesibilidad Universal, Horarios Acordes</v>
      </c>
      <c r="AX63" s="87" t="s">
        <v>246</v>
      </c>
      <c r="AY63" s="87" t="s">
        <v>213</v>
      </c>
      <c r="AZ63" s="87"/>
      <c r="BA63" s="91" t="s">
        <v>399</v>
      </c>
      <c r="BB63" s="84"/>
      <c r="BC63" s="85"/>
      <c r="BD63" s="85"/>
    </row>
    <row r="64" spans="1:56" s="86" customFormat="1" ht="46.5" customHeight="1">
      <c r="A64" s="78">
        <v>59</v>
      </c>
      <c r="B64" s="79" t="s">
        <v>422</v>
      </c>
      <c r="C64" s="88">
        <v>45355</v>
      </c>
      <c r="D64" s="89">
        <v>0.29166666666666669</v>
      </c>
      <c r="E64" s="87" t="s">
        <v>58</v>
      </c>
      <c r="F64" s="87" t="s">
        <v>61</v>
      </c>
      <c r="G64" s="87" t="s">
        <v>95</v>
      </c>
      <c r="H64" s="90" t="s">
        <v>423</v>
      </c>
      <c r="I64" s="90" t="s">
        <v>172</v>
      </c>
      <c r="J64" s="87" t="s">
        <v>119</v>
      </c>
      <c r="K64" s="87" t="s">
        <v>209</v>
      </c>
      <c r="L64" s="90" t="s">
        <v>348</v>
      </c>
      <c r="M64" s="91">
        <v>3114546690</v>
      </c>
      <c r="N64" s="90" t="s">
        <v>349</v>
      </c>
      <c r="O64" s="90" t="str">
        <f t="shared" si="0"/>
        <v>Distrital</v>
      </c>
      <c r="P64" s="87" t="s">
        <v>73</v>
      </c>
      <c r="Q64" s="87"/>
      <c r="R64" s="87"/>
      <c r="S64" s="87"/>
      <c r="T64" s="87"/>
      <c r="U64" s="87"/>
      <c r="V64" s="90" t="str">
        <f t="shared" si="1"/>
        <v>Distrital</v>
      </c>
      <c r="W64" s="87" t="s">
        <v>73</v>
      </c>
      <c r="X64" s="87"/>
      <c r="Y64" s="87"/>
      <c r="Z64" s="87"/>
      <c r="AA64" s="87"/>
      <c r="AB64" s="87"/>
      <c r="AC64" s="90" t="str">
        <f t="shared" si="2"/>
        <v>Distrital</v>
      </c>
      <c r="AD64" s="87" t="s">
        <v>73</v>
      </c>
      <c r="AE64" s="87"/>
      <c r="AF64" s="87"/>
      <c r="AG64" s="87"/>
      <c r="AH64" s="87"/>
      <c r="AI64" s="87"/>
      <c r="AJ64" s="87"/>
      <c r="AK64" s="87"/>
      <c r="AL64" s="87"/>
      <c r="AM64" s="87"/>
      <c r="AN64" s="90" t="s">
        <v>160</v>
      </c>
      <c r="AO64" s="92" t="s">
        <v>424</v>
      </c>
      <c r="AP64" s="82"/>
      <c r="AQ64" s="87" t="s">
        <v>60</v>
      </c>
      <c r="AR64" s="87" t="s">
        <v>398</v>
      </c>
      <c r="AS64" s="82"/>
      <c r="AT64" s="87">
        <v>18</v>
      </c>
      <c r="AU64" s="87">
        <v>5</v>
      </c>
      <c r="AV64" s="87">
        <f t="shared" si="5"/>
        <v>23</v>
      </c>
      <c r="AW64" s="87" t="str">
        <f t="shared" si="6"/>
        <v>Horarios Acordes</v>
      </c>
      <c r="AX64" s="87" t="s">
        <v>213</v>
      </c>
      <c r="AY64" s="87"/>
      <c r="AZ64" s="87"/>
      <c r="BA64" s="91" t="s">
        <v>425</v>
      </c>
      <c r="BB64" s="84"/>
      <c r="BC64" s="85"/>
      <c r="BD64" s="85"/>
    </row>
    <row r="65" spans="1:56" s="86" customFormat="1" ht="46.5" customHeight="1">
      <c r="A65" s="87">
        <v>60</v>
      </c>
      <c r="B65" s="79" t="s">
        <v>426</v>
      </c>
      <c r="C65" s="88">
        <v>45355</v>
      </c>
      <c r="D65" s="89">
        <v>0.625</v>
      </c>
      <c r="E65" s="87" t="s">
        <v>58</v>
      </c>
      <c r="F65" s="87" t="s">
        <v>61</v>
      </c>
      <c r="G65" s="87" t="s">
        <v>62</v>
      </c>
      <c r="H65" s="90" t="s">
        <v>392</v>
      </c>
      <c r="I65" s="90" t="s">
        <v>172</v>
      </c>
      <c r="J65" s="87" t="s">
        <v>173</v>
      </c>
      <c r="K65" s="87"/>
      <c r="L65" s="90" t="s">
        <v>72</v>
      </c>
      <c r="M65" s="90" t="s">
        <v>72</v>
      </c>
      <c r="N65" s="90" t="s">
        <v>72</v>
      </c>
      <c r="O65" s="90" t="str">
        <f t="shared" si="0"/>
        <v>Usaquén</v>
      </c>
      <c r="P65" s="87" t="s">
        <v>428</v>
      </c>
      <c r="Q65" s="87"/>
      <c r="R65" s="87"/>
      <c r="S65" s="87"/>
      <c r="T65" s="87"/>
      <c r="U65" s="87"/>
      <c r="V65" s="90" t="str">
        <f t="shared" si="1"/>
        <v>Norte</v>
      </c>
      <c r="W65" s="87" t="s">
        <v>429</v>
      </c>
      <c r="X65" s="87"/>
      <c r="Y65" s="87"/>
      <c r="Z65" s="87"/>
      <c r="AA65" s="87"/>
      <c r="AB65" s="87"/>
      <c r="AC65" s="90" t="str">
        <f t="shared" si="2"/>
        <v>Usaquén</v>
      </c>
      <c r="AD65" s="87" t="s">
        <v>428</v>
      </c>
      <c r="AE65" s="87"/>
      <c r="AF65" s="87"/>
      <c r="AG65" s="87"/>
      <c r="AH65" s="87"/>
      <c r="AI65" s="87"/>
      <c r="AJ65" s="87"/>
      <c r="AK65" s="87"/>
      <c r="AL65" s="87"/>
      <c r="AM65" s="87"/>
      <c r="AN65" s="90" t="s">
        <v>160</v>
      </c>
      <c r="AO65" s="90" t="s">
        <v>430</v>
      </c>
      <c r="AP65" s="82"/>
      <c r="AQ65" s="87" t="s">
        <v>60</v>
      </c>
      <c r="AR65" s="87" t="s">
        <v>398</v>
      </c>
      <c r="AS65" s="82"/>
      <c r="AT65" s="87">
        <v>35</v>
      </c>
      <c r="AU65" s="87">
        <v>16</v>
      </c>
      <c r="AV65" s="87">
        <f t="shared" si="5"/>
        <v>51</v>
      </c>
      <c r="AW65" s="87" t="str">
        <f t="shared" si="6"/>
        <v>Ninguna</v>
      </c>
      <c r="AX65" s="87" t="s">
        <v>75</v>
      </c>
      <c r="AY65" s="87"/>
      <c r="AZ65" s="87"/>
      <c r="BA65" s="91" t="s">
        <v>431</v>
      </c>
      <c r="BB65" s="84"/>
      <c r="BC65" s="85"/>
      <c r="BD65" s="85"/>
    </row>
    <row r="66" spans="1:56" s="86" customFormat="1" ht="46.5" customHeight="1">
      <c r="A66" s="78">
        <v>61</v>
      </c>
      <c r="B66" s="79" t="s">
        <v>432</v>
      </c>
      <c r="C66" s="88">
        <v>45356</v>
      </c>
      <c r="D66" s="89">
        <v>0.39583333333333331</v>
      </c>
      <c r="E66" s="87" t="s">
        <v>58</v>
      </c>
      <c r="F66" s="87" t="s">
        <v>61</v>
      </c>
      <c r="G66" s="87" t="s">
        <v>95</v>
      </c>
      <c r="H66" s="90" t="s">
        <v>375</v>
      </c>
      <c r="I66" s="90" t="s">
        <v>64</v>
      </c>
      <c r="J66" s="87" t="s">
        <v>70</v>
      </c>
      <c r="K66" s="87" t="s">
        <v>71</v>
      </c>
      <c r="L66" s="91" t="s">
        <v>380</v>
      </c>
      <c r="M66" s="91">
        <v>3143480013</v>
      </c>
      <c r="N66" s="91" t="s">
        <v>381</v>
      </c>
      <c r="O66" s="90" t="str">
        <f t="shared" si="0"/>
        <v>Distrital</v>
      </c>
      <c r="P66" s="87" t="s">
        <v>73</v>
      </c>
      <c r="Q66" s="87"/>
      <c r="R66" s="87"/>
      <c r="S66" s="87"/>
      <c r="T66" s="87"/>
      <c r="U66" s="87"/>
      <c r="V66" s="90" t="str">
        <f t="shared" si="1"/>
        <v>Distrital</v>
      </c>
      <c r="W66" s="87" t="s">
        <v>73</v>
      </c>
      <c r="X66" s="87"/>
      <c r="Y66" s="87"/>
      <c r="Z66" s="87"/>
      <c r="AA66" s="87"/>
      <c r="AB66" s="87"/>
      <c r="AC66" s="90" t="str">
        <f t="shared" si="2"/>
        <v>Distrital</v>
      </c>
      <c r="AD66" s="87" t="s">
        <v>73</v>
      </c>
      <c r="AE66" s="87"/>
      <c r="AF66" s="87"/>
      <c r="AG66" s="87"/>
      <c r="AH66" s="87"/>
      <c r="AI66" s="87"/>
      <c r="AJ66" s="87"/>
      <c r="AK66" s="87"/>
      <c r="AL66" s="87"/>
      <c r="AM66" s="87"/>
      <c r="AN66" s="90" t="s">
        <v>160</v>
      </c>
      <c r="AO66" s="92" t="s">
        <v>433</v>
      </c>
      <c r="AP66" s="82"/>
      <c r="AQ66" s="87" t="s">
        <v>60</v>
      </c>
      <c r="AR66" s="87" t="s">
        <v>77</v>
      </c>
      <c r="AS66" s="82"/>
      <c r="AT66" s="87">
        <v>80</v>
      </c>
      <c r="AU66" s="87">
        <v>1</v>
      </c>
      <c r="AV66" s="87">
        <f t="shared" si="5"/>
        <v>81</v>
      </c>
      <c r="AW66" s="87" t="str">
        <f t="shared" si="6"/>
        <v>Horarios Acordes</v>
      </c>
      <c r="AX66" s="87" t="s">
        <v>213</v>
      </c>
      <c r="AY66" s="87"/>
      <c r="AZ66" s="87"/>
      <c r="BA66" s="91" t="s">
        <v>434</v>
      </c>
      <c r="BB66" s="84"/>
      <c r="BC66" s="85"/>
      <c r="BD66" s="85"/>
    </row>
    <row r="67" spans="1:56" s="86" customFormat="1" ht="46.5" customHeight="1">
      <c r="A67" s="87">
        <v>62</v>
      </c>
      <c r="B67" s="79" t="s">
        <v>435</v>
      </c>
      <c r="C67" s="88">
        <v>45356</v>
      </c>
      <c r="D67" s="89">
        <v>0.625</v>
      </c>
      <c r="E67" s="87" t="s">
        <v>58</v>
      </c>
      <c r="F67" s="87" t="s">
        <v>61</v>
      </c>
      <c r="G67" s="87" t="s">
        <v>62</v>
      </c>
      <c r="H67" s="90" t="s">
        <v>392</v>
      </c>
      <c r="I67" s="90" t="s">
        <v>172</v>
      </c>
      <c r="J67" s="87" t="s">
        <v>173</v>
      </c>
      <c r="K67" s="87"/>
      <c r="L67" s="90" t="s">
        <v>72</v>
      </c>
      <c r="M67" s="90" t="s">
        <v>72</v>
      </c>
      <c r="N67" s="90" t="s">
        <v>72</v>
      </c>
      <c r="O67" s="90" t="str">
        <f t="shared" si="0"/>
        <v>Ciudad Bolívar</v>
      </c>
      <c r="P67" s="87" t="s">
        <v>107</v>
      </c>
      <c r="Q67" s="87"/>
      <c r="R67" s="87"/>
      <c r="S67" s="87"/>
      <c r="T67" s="87"/>
      <c r="U67" s="87"/>
      <c r="V67" s="90" t="str">
        <f t="shared" si="1"/>
        <v>Suroriente</v>
      </c>
      <c r="W67" s="87" t="s">
        <v>108</v>
      </c>
      <c r="X67" s="87"/>
      <c r="Y67" s="87"/>
      <c r="Z67" s="87"/>
      <c r="AA67" s="87"/>
      <c r="AB67" s="87"/>
      <c r="AC67" s="90" t="str">
        <f t="shared" si="2"/>
        <v>Lucero</v>
      </c>
      <c r="AD67" s="87" t="s">
        <v>111</v>
      </c>
      <c r="AE67" s="87"/>
      <c r="AF67" s="87"/>
      <c r="AG67" s="87"/>
      <c r="AH67" s="87"/>
      <c r="AI67" s="87"/>
      <c r="AJ67" s="87"/>
      <c r="AK67" s="87"/>
      <c r="AL67" s="87"/>
      <c r="AM67" s="87"/>
      <c r="AN67" s="90" t="s">
        <v>160</v>
      </c>
      <c r="AO67" s="90" t="s">
        <v>436</v>
      </c>
      <c r="AP67" s="82"/>
      <c r="AQ67" s="87" t="s">
        <v>60</v>
      </c>
      <c r="AR67" s="87" t="s">
        <v>398</v>
      </c>
      <c r="AS67" s="82"/>
      <c r="AT67" s="87">
        <v>77</v>
      </c>
      <c r="AU67" s="87">
        <v>14</v>
      </c>
      <c r="AV67" s="87">
        <f t="shared" si="5"/>
        <v>91</v>
      </c>
      <c r="AW67" s="87" t="str">
        <f t="shared" si="6"/>
        <v>Accesibilidad Universal, Horarios Acordes</v>
      </c>
      <c r="AX67" s="87" t="s">
        <v>246</v>
      </c>
      <c r="AY67" s="87" t="s">
        <v>213</v>
      </c>
      <c r="AZ67" s="87"/>
      <c r="BA67" s="91" t="s">
        <v>399</v>
      </c>
      <c r="BB67" s="84"/>
      <c r="BC67" s="85"/>
      <c r="BD67" s="85"/>
    </row>
    <row r="68" spans="1:56" s="86" customFormat="1" ht="46.5" customHeight="1">
      <c r="A68" s="78">
        <v>63</v>
      </c>
      <c r="B68" s="79" t="s">
        <v>437</v>
      </c>
      <c r="C68" s="88">
        <v>45356</v>
      </c>
      <c r="D68" s="89">
        <v>0.70833333333333337</v>
      </c>
      <c r="E68" s="87" t="s">
        <v>93</v>
      </c>
      <c r="F68" s="87" t="s">
        <v>102</v>
      </c>
      <c r="G68" s="87" t="s">
        <v>95</v>
      </c>
      <c r="H68" s="90" t="s">
        <v>438</v>
      </c>
      <c r="I68" s="90" t="s">
        <v>118</v>
      </c>
      <c r="J68" s="87" t="s">
        <v>70</v>
      </c>
      <c r="K68" s="87" t="s">
        <v>129</v>
      </c>
      <c r="L68" s="90" t="s">
        <v>407</v>
      </c>
      <c r="M68" s="90">
        <v>3188799909</v>
      </c>
      <c r="N68" s="90" t="s">
        <v>439</v>
      </c>
      <c r="O68" s="90" t="str">
        <f t="shared" si="0"/>
        <v>Distrital</v>
      </c>
      <c r="P68" s="87" t="s">
        <v>73</v>
      </c>
      <c r="Q68" s="87"/>
      <c r="R68" s="87"/>
      <c r="S68" s="87"/>
      <c r="T68" s="87"/>
      <c r="U68" s="87"/>
      <c r="V68" s="90" t="str">
        <f t="shared" si="1"/>
        <v>Distrital</v>
      </c>
      <c r="W68" s="87" t="s">
        <v>73</v>
      </c>
      <c r="X68" s="87"/>
      <c r="Y68" s="87"/>
      <c r="Z68" s="87"/>
      <c r="AA68" s="87"/>
      <c r="AB68" s="87"/>
      <c r="AC68" s="90" t="str">
        <f t="shared" si="2"/>
        <v>Distrital</v>
      </c>
      <c r="AD68" s="87" t="s">
        <v>73</v>
      </c>
      <c r="AE68" s="87"/>
      <c r="AF68" s="87"/>
      <c r="AG68" s="87"/>
      <c r="AH68" s="87"/>
      <c r="AI68" s="87"/>
      <c r="AJ68" s="87"/>
      <c r="AK68" s="87"/>
      <c r="AL68" s="87"/>
      <c r="AM68" s="87"/>
      <c r="AN68" s="90" t="s">
        <v>160</v>
      </c>
      <c r="AO68" s="92" t="s">
        <v>440</v>
      </c>
      <c r="AP68" s="82"/>
      <c r="AQ68" s="87" t="s">
        <v>59</v>
      </c>
      <c r="AR68" s="87" t="s">
        <v>80</v>
      </c>
      <c r="AS68" s="82"/>
      <c r="AT68" s="87">
        <v>92</v>
      </c>
      <c r="AU68" s="87">
        <v>3</v>
      </c>
      <c r="AV68" s="87">
        <f t="shared" si="5"/>
        <v>95</v>
      </c>
      <c r="AW68" s="87" t="str">
        <f t="shared" si="6"/>
        <v>No Aplica</v>
      </c>
      <c r="AX68" s="87" t="s">
        <v>78</v>
      </c>
      <c r="AY68" s="87"/>
      <c r="AZ68" s="87"/>
      <c r="BA68" s="91" t="s">
        <v>441</v>
      </c>
      <c r="BB68" s="84"/>
      <c r="BC68" s="85"/>
      <c r="BD68" s="85"/>
    </row>
    <row r="69" spans="1:56" s="86" customFormat="1" ht="46.5" customHeight="1">
      <c r="A69" s="87">
        <v>64</v>
      </c>
      <c r="B69" s="79" t="s">
        <v>442</v>
      </c>
      <c r="C69" s="88">
        <v>45356</v>
      </c>
      <c r="D69" s="89">
        <v>0.41666666666666669</v>
      </c>
      <c r="E69" s="87" t="s">
        <v>58</v>
      </c>
      <c r="F69" s="87" t="s">
        <v>135</v>
      </c>
      <c r="G69" s="87" t="s">
        <v>95</v>
      </c>
      <c r="H69" s="90" t="s">
        <v>443</v>
      </c>
      <c r="I69" s="90" t="s">
        <v>64</v>
      </c>
      <c r="J69" s="87" t="s">
        <v>70</v>
      </c>
      <c r="K69" s="87" t="s">
        <v>71</v>
      </c>
      <c r="L69" s="90" t="s">
        <v>444</v>
      </c>
      <c r="M69" s="90">
        <v>3002675080</v>
      </c>
      <c r="N69" s="90" t="s">
        <v>445</v>
      </c>
      <c r="O69" s="90" t="str">
        <f t="shared" si="0"/>
        <v>Distrital</v>
      </c>
      <c r="P69" s="87" t="s">
        <v>73</v>
      </c>
      <c r="Q69" s="87"/>
      <c r="R69" s="87"/>
      <c r="S69" s="87"/>
      <c r="T69" s="87"/>
      <c r="U69" s="87"/>
      <c r="V69" s="90" t="str">
        <f t="shared" si="1"/>
        <v>Distrital</v>
      </c>
      <c r="W69" s="87" t="s">
        <v>73</v>
      </c>
      <c r="X69" s="87"/>
      <c r="Y69" s="87"/>
      <c r="Z69" s="87"/>
      <c r="AA69" s="87"/>
      <c r="AB69" s="87"/>
      <c r="AC69" s="90" t="str">
        <f t="shared" si="2"/>
        <v>Distrital</v>
      </c>
      <c r="AD69" s="87" t="s">
        <v>73</v>
      </c>
      <c r="AE69" s="87"/>
      <c r="AF69" s="87"/>
      <c r="AG69" s="87"/>
      <c r="AH69" s="87"/>
      <c r="AI69" s="87"/>
      <c r="AJ69" s="87"/>
      <c r="AK69" s="87"/>
      <c r="AL69" s="87"/>
      <c r="AM69" s="87"/>
      <c r="AN69" s="90" t="s">
        <v>160</v>
      </c>
      <c r="AO69" s="90" t="s">
        <v>446</v>
      </c>
      <c r="AP69" s="82"/>
      <c r="AQ69" s="87" t="s">
        <v>59</v>
      </c>
      <c r="AR69" s="87" t="s">
        <v>77</v>
      </c>
      <c r="AS69" s="82"/>
      <c r="AT69" s="87">
        <v>0</v>
      </c>
      <c r="AU69" s="87">
        <v>4</v>
      </c>
      <c r="AV69" s="87">
        <f t="shared" si="5"/>
        <v>4</v>
      </c>
      <c r="AW69" s="87" t="str">
        <f t="shared" si="6"/>
        <v>Ninguna</v>
      </c>
      <c r="AX69" s="87" t="s">
        <v>75</v>
      </c>
      <c r="AY69" s="87"/>
      <c r="AZ69" s="87"/>
      <c r="BA69" s="91" t="s">
        <v>447</v>
      </c>
      <c r="BB69" s="84"/>
      <c r="BC69" s="85"/>
      <c r="BD69" s="85"/>
    </row>
    <row r="70" spans="1:56" s="86" customFormat="1" ht="46.5" customHeight="1">
      <c r="A70" s="78">
        <v>65</v>
      </c>
      <c r="B70" s="79" t="s">
        <v>448</v>
      </c>
      <c r="C70" s="88">
        <v>45356</v>
      </c>
      <c r="D70" s="89">
        <v>0.79166666666666663</v>
      </c>
      <c r="E70" s="87" t="s">
        <v>353</v>
      </c>
      <c r="F70" s="87" t="s">
        <v>61</v>
      </c>
      <c r="G70" s="87" t="s">
        <v>62</v>
      </c>
      <c r="H70" s="90" t="s">
        <v>449</v>
      </c>
      <c r="I70" s="90" t="s">
        <v>172</v>
      </c>
      <c r="J70" s="87" t="s">
        <v>173</v>
      </c>
      <c r="K70" s="87"/>
      <c r="L70" s="90" t="s">
        <v>72</v>
      </c>
      <c r="M70" s="90" t="s">
        <v>72</v>
      </c>
      <c r="N70" s="90" t="s">
        <v>72</v>
      </c>
      <c r="O70" s="90" t="str">
        <f t="shared" ref="O70:O133" si="7">_xlfn.TEXTJOIN(", ",TRUE,$P70:$T70)</f>
        <v>Distrital</v>
      </c>
      <c r="P70" s="87" t="s">
        <v>73</v>
      </c>
      <c r="Q70" s="87"/>
      <c r="R70" s="87"/>
      <c r="S70" s="87"/>
      <c r="T70" s="87"/>
      <c r="U70" s="87"/>
      <c r="V70" s="90" t="str">
        <f t="shared" ref="V70:V133" si="8">_xlfn.TEXTJOIN(", ",TRUE,$W70:$AB70)</f>
        <v>Distrital</v>
      </c>
      <c r="W70" s="87" t="s">
        <v>73</v>
      </c>
      <c r="X70" s="87"/>
      <c r="Y70" s="87"/>
      <c r="Z70" s="87"/>
      <c r="AA70" s="87"/>
      <c r="AB70" s="87"/>
      <c r="AC70" s="90" t="str">
        <f t="shared" ref="AC70:AC133" si="9">_xlfn.TEXTJOIN(", ",TRUE,$AD70:$AM70)</f>
        <v>Distrital</v>
      </c>
      <c r="AD70" s="87" t="s">
        <v>73</v>
      </c>
      <c r="AE70" s="87"/>
      <c r="AF70" s="87"/>
      <c r="AG70" s="87"/>
      <c r="AH70" s="87"/>
      <c r="AI70" s="87"/>
      <c r="AJ70" s="87"/>
      <c r="AK70" s="87"/>
      <c r="AL70" s="87"/>
      <c r="AM70" s="87"/>
      <c r="AN70" s="90" t="s">
        <v>160</v>
      </c>
      <c r="AO70" s="90" t="s">
        <v>450</v>
      </c>
      <c r="AP70" s="82"/>
      <c r="AQ70" s="87" t="s">
        <v>59</v>
      </c>
      <c r="AR70" s="87" t="s">
        <v>80</v>
      </c>
      <c r="AS70" s="82"/>
      <c r="AT70" s="87">
        <v>33</v>
      </c>
      <c r="AU70" s="87">
        <v>7</v>
      </c>
      <c r="AV70" s="87">
        <f t="shared" si="5"/>
        <v>40</v>
      </c>
      <c r="AW70" s="87" t="str">
        <f t="shared" ref="AW70:AW101" si="10">_xlfn.TEXTJOIN(", ",TRUE,$AX70:$AZ70)</f>
        <v>No Aplica</v>
      </c>
      <c r="AX70" s="87" t="s">
        <v>78</v>
      </c>
      <c r="AY70" s="87"/>
      <c r="AZ70" s="87"/>
      <c r="BA70" s="91" t="s">
        <v>451</v>
      </c>
      <c r="BB70" s="84"/>
      <c r="BC70" s="85"/>
      <c r="BD70" s="85"/>
    </row>
    <row r="71" spans="1:56" s="86" customFormat="1" ht="46.5" customHeight="1">
      <c r="A71" s="87">
        <v>66</v>
      </c>
      <c r="B71" s="79" t="s">
        <v>452</v>
      </c>
      <c r="C71" s="88">
        <v>45357</v>
      </c>
      <c r="D71" s="89">
        <v>0.33333333333333331</v>
      </c>
      <c r="E71" s="87" t="s">
        <v>58</v>
      </c>
      <c r="F71" s="87" t="s">
        <v>135</v>
      </c>
      <c r="G71" s="87" t="s">
        <v>95</v>
      </c>
      <c r="H71" s="90" t="s">
        <v>453</v>
      </c>
      <c r="I71" s="90" t="s">
        <v>64</v>
      </c>
      <c r="J71" s="87" t="s">
        <v>70</v>
      </c>
      <c r="K71" s="87" t="s">
        <v>71</v>
      </c>
      <c r="L71" s="90" t="s">
        <v>454</v>
      </c>
      <c r="M71" s="91" t="s">
        <v>290</v>
      </c>
      <c r="N71" s="90" t="s">
        <v>291</v>
      </c>
      <c r="O71" s="90" t="str">
        <f t="shared" si="7"/>
        <v>Distrital</v>
      </c>
      <c r="P71" s="87" t="s">
        <v>73</v>
      </c>
      <c r="Q71" s="87"/>
      <c r="R71" s="87"/>
      <c r="S71" s="87"/>
      <c r="T71" s="87"/>
      <c r="U71" s="87"/>
      <c r="V71" s="90" t="str">
        <f t="shared" si="8"/>
        <v>Distrital</v>
      </c>
      <c r="W71" s="87" t="s">
        <v>73</v>
      </c>
      <c r="X71" s="87"/>
      <c r="Y71" s="87"/>
      <c r="Z71" s="87"/>
      <c r="AA71" s="87"/>
      <c r="AB71" s="87"/>
      <c r="AC71" s="90" t="str">
        <f t="shared" si="9"/>
        <v>Distrital</v>
      </c>
      <c r="AD71" s="87" t="s">
        <v>73</v>
      </c>
      <c r="AE71" s="87"/>
      <c r="AF71" s="87"/>
      <c r="AG71" s="87"/>
      <c r="AH71" s="87"/>
      <c r="AI71" s="87"/>
      <c r="AJ71" s="87"/>
      <c r="AK71" s="87"/>
      <c r="AL71" s="87"/>
      <c r="AM71" s="87"/>
      <c r="AN71" s="90" t="s">
        <v>160</v>
      </c>
      <c r="AO71" s="92" t="s">
        <v>455</v>
      </c>
      <c r="AP71" s="82"/>
      <c r="AQ71" s="87" t="s">
        <v>59</v>
      </c>
      <c r="AR71" s="87" t="s">
        <v>80</v>
      </c>
      <c r="AS71" s="82"/>
      <c r="AT71" s="87">
        <v>0</v>
      </c>
      <c r="AU71" s="87">
        <v>8</v>
      </c>
      <c r="AV71" s="87">
        <f t="shared" si="5"/>
        <v>8</v>
      </c>
      <c r="AW71" s="87" t="str">
        <f t="shared" si="10"/>
        <v>No Aplica</v>
      </c>
      <c r="AX71" s="87" t="s">
        <v>78</v>
      </c>
      <c r="AY71" s="87"/>
      <c r="AZ71" s="87"/>
      <c r="BA71" s="91" t="s">
        <v>456</v>
      </c>
      <c r="BB71" s="84"/>
      <c r="BC71" s="85"/>
      <c r="BD71" s="85"/>
    </row>
    <row r="72" spans="1:56" s="86" customFormat="1" ht="46.5" customHeight="1">
      <c r="A72" s="78">
        <v>67</v>
      </c>
      <c r="B72" s="79" t="s">
        <v>457</v>
      </c>
      <c r="C72" s="88">
        <v>45357</v>
      </c>
      <c r="D72" s="89">
        <v>0.33333333333333331</v>
      </c>
      <c r="E72" s="87" t="s">
        <v>58</v>
      </c>
      <c r="F72" s="87" t="s">
        <v>135</v>
      </c>
      <c r="G72" s="87" t="s">
        <v>95</v>
      </c>
      <c r="H72" s="90" t="s">
        <v>458</v>
      </c>
      <c r="I72" s="90" t="s">
        <v>64</v>
      </c>
      <c r="J72" s="87" t="s">
        <v>70</v>
      </c>
      <c r="K72" s="87" t="s">
        <v>71</v>
      </c>
      <c r="L72" s="90" t="s">
        <v>444</v>
      </c>
      <c r="M72" s="91">
        <v>3002675080</v>
      </c>
      <c r="N72" s="90" t="s">
        <v>445</v>
      </c>
      <c r="O72" s="90" t="str">
        <f t="shared" si="7"/>
        <v>Distrital</v>
      </c>
      <c r="P72" s="87" t="s">
        <v>73</v>
      </c>
      <c r="Q72" s="87"/>
      <c r="R72" s="87"/>
      <c r="S72" s="87"/>
      <c r="T72" s="87"/>
      <c r="U72" s="87"/>
      <c r="V72" s="90" t="str">
        <f t="shared" si="8"/>
        <v>Distrital</v>
      </c>
      <c r="W72" s="87" t="s">
        <v>73</v>
      </c>
      <c r="X72" s="87"/>
      <c r="Y72" s="87"/>
      <c r="Z72" s="87"/>
      <c r="AA72" s="87"/>
      <c r="AB72" s="87"/>
      <c r="AC72" s="90" t="str">
        <f t="shared" si="9"/>
        <v>Distrital</v>
      </c>
      <c r="AD72" s="87" t="s">
        <v>73</v>
      </c>
      <c r="AE72" s="87"/>
      <c r="AF72" s="87"/>
      <c r="AG72" s="87"/>
      <c r="AH72" s="87"/>
      <c r="AI72" s="87"/>
      <c r="AJ72" s="87"/>
      <c r="AK72" s="87"/>
      <c r="AL72" s="87"/>
      <c r="AM72" s="87"/>
      <c r="AN72" s="90" t="s">
        <v>160</v>
      </c>
      <c r="AO72" s="92" t="s">
        <v>459</v>
      </c>
      <c r="AP72" s="82"/>
      <c r="AQ72" s="87" t="s">
        <v>59</v>
      </c>
      <c r="AR72" s="87" t="s">
        <v>80</v>
      </c>
      <c r="AS72" s="82"/>
      <c r="AT72" s="87">
        <v>0</v>
      </c>
      <c r="AU72" s="87">
        <v>3</v>
      </c>
      <c r="AV72" s="87">
        <f t="shared" si="5"/>
        <v>3</v>
      </c>
      <c r="AW72" s="87" t="str">
        <f t="shared" si="10"/>
        <v>No Aplica</v>
      </c>
      <c r="AX72" s="87" t="s">
        <v>78</v>
      </c>
      <c r="AY72" s="87"/>
      <c r="AZ72" s="87"/>
      <c r="BA72" s="91" t="s">
        <v>460</v>
      </c>
      <c r="BB72" s="84"/>
      <c r="BC72" s="85"/>
      <c r="BD72" s="85"/>
    </row>
    <row r="73" spans="1:56" s="86" customFormat="1" ht="46.5" customHeight="1">
      <c r="A73" s="87">
        <v>68</v>
      </c>
      <c r="B73" s="79" t="s">
        <v>461</v>
      </c>
      <c r="C73" s="88">
        <v>45357</v>
      </c>
      <c r="D73" s="89">
        <v>0.39583333333333331</v>
      </c>
      <c r="E73" s="87" t="s">
        <v>58</v>
      </c>
      <c r="F73" s="87" t="s">
        <v>61</v>
      </c>
      <c r="G73" s="87" t="s">
        <v>95</v>
      </c>
      <c r="H73" s="90" t="s">
        <v>375</v>
      </c>
      <c r="I73" s="90" t="s">
        <v>64</v>
      </c>
      <c r="J73" s="87" t="s">
        <v>70</v>
      </c>
      <c r="K73" s="87" t="s">
        <v>71</v>
      </c>
      <c r="L73" s="91" t="s">
        <v>380</v>
      </c>
      <c r="M73" s="91">
        <v>3143480013</v>
      </c>
      <c r="N73" s="91" t="s">
        <v>381</v>
      </c>
      <c r="O73" s="90" t="str">
        <f t="shared" si="7"/>
        <v>Distrital</v>
      </c>
      <c r="P73" s="87" t="s">
        <v>73</v>
      </c>
      <c r="Q73" s="87"/>
      <c r="R73" s="87"/>
      <c r="S73" s="87"/>
      <c r="T73" s="87"/>
      <c r="U73" s="87"/>
      <c r="V73" s="90" t="str">
        <f t="shared" si="8"/>
        <v>Distrital</v>
      </c>
      <c r="W73" s="87" t="s">
        <v>73</v>
      </c>
      <c r="X73" s="87"/>
      <c r="Y73" s="87"/>
      <c r="Z73" s="87"/>
      <c r="AA73" s="87"/>
      <c r="AB73" s="87"/>
      <c r="AC73" s="90" t="str">
        <f t="shared" si="9"/>
        <v>Distrital</v>
      </c>
      <c r="AD73" s="87" t="s">
        <v>73</v>
      </c>
      <c r="AE73" s="87"/>
      <c r="AF73" s="87"/>
      <c r="AG73" s="87"/>
      <c r="AH73" s="87"/>
      <c r="AI73" s="87"/>
      <c r="AJ73" s="87"/>
      <c r="AK73" s="87"/>
      <c r="AL73" s="87"/>
      <c r="AM73" s="87"/>
      <c r="AN73" s="90" t="s">
        <v>160</v>
      </c>
      <c r="AO73" s="92" t="s">
        <v>462</v>
      </c>
      <c r="AP73" s="82"/>
      <c r="AQ73" s="87" t="s">
        <v>60</v>
      </c>
      <c r="AR73" s="87" t="s">
        <v>77</v>
      </c>
      <c r="AS73" s="82"/>
      <c r="AT73" s="87">
        <v>42</v>
      </c>
      <c r="AU73" s="87">
        <v>1</v>
      </c>
      <c r="AV73" s="87">
        <f t="shared" si="5"/>
        <v>43</v>
      </c>
      <c r="AW73" s="87" t="str">
        <f t="shared" si="10"/>
        <v>No Aplica</v>
      </c>
      <c r="AX73" s="87" t="s">
        <v>78</v>
      </c>
      <c r="AY73" s="87"/>
      <c r="AZ73" s="87"/>
      <c r="BA73" s="91" t="s">
        <v>434</v>
      </c>
      <c r="BB73" s="84"/>
      <c r="BC73" s="85"/>
      <c r="BD73" s="85"/>
    </row>
    <row r="74" spans="1:56" s="86" customFormat="1" ht="46.5" customHeight="1">
      <c r="A74" s="78">
        <v>69</v>
      </c>
      <c r="B74" s="79" t="s">
        <v>463</v>
      </c>
      <c r="C74" s="88">
        <v>45357</v>
      </c>
      <c r="D74" s="89">
        <v>0.58333333333333337</v>
      </c>
      <c r="E74" s="87" t="s">
        <v>93</v>
      </c>
      <c r="F74" s="87" t="s">
        <v>321</v>
      </c>
      <c r="G74" s="87" t="s">
        <v>95</v>
      </c>
      <c r="H74" s="90" t="s">
        <v>464</v>
      </c>
      <c r="I74" s="90" t="s">
        <v>64</v>
      </c>
      <c r="J74" s="87" t="s">
        <v>70</v>
      </c>
      <c r="K74" s="87" t="s">
        <v>324</v>
      </c>
      <c r="L74" s="90" t="s">
        <v>465</v>
      </c>
      <c r="M74" s="91" t="s">
        <v>466</v>
      </c>
      <c r="N74" s="90" t="s">
        <v>72</v>
      </c>
      <c r="O74" s="90" t="str">
        <f t="shared" si="7"/>
        <v>Rafael Uribe Uribe</v>
      </c>
      <c r="P74" s="87" t="s">
        <v>414</v>
      </c>
      <c r="Q74" s="87"/>
      <c r="R74" s="87"/>
      <c r="S74" s="87"/>
      <c r="T74" s="87"/>
      <c r="U74" s="87"/>
      <c r="V74" s="90" t="str">
        <f t="shared" si="8"/>
        <v>Suroriente, Centro Ampliado</v>
      </c>
      <c r="W74" s="87" t="s">
        <v>108</v>
      </c>
      <c r="X74" s="87" t="s">
        <v>415</v>
      </c>
      <c r="Y74" s="87"/>
      <c r="Z74" s="87"/>
      <c r="AA74" s="87"/>
      <c r="AB74" s="87"/>
      <c r="AC74" s="90" t="str">
        <f t="shared" si="9"/>
        <v>Rafael Uribe, Restrepo, San Cristobal</v>
      </c>
      <c r="AD74" s="87" t="s">
        <v>467</v>
      </c>
      <c r="AE74" s="87" t="s">
        <v>416</v>
      </c>
      <c r="AF74" s="87" t="s">
        <v>371</v>
      </c>
      <c r="AG74" s="87"/>
      <c r="AH74" s="87"/>
      <c r="AI74" s="87"/>
      <c r="AJ74" s="87"/>
      <c r="AK74" s="87"/>
      <c r="AL74" s="87"/>
      <c r="AM74" s="87"/>
      <c r="AN74" s="90" t="s">
        <v>160</v>
      </c>
      <c r="AO74" s="92" t="s">
        <v>468</v>
      </c>
      <c r="AP74" s="82"/>
      <c r="AQ74" s="87" t="s">
        <v>59</v>
      </c>
      <c r="AR74" s="87" t="s">
        <v>80</v>
      </c>
      <c r="AS74" s="82"/>
      <c r="AT74" s="87">
        <v>7</v>
      </c>
      <c r="AU74" s="87">
        <v>1</v>
      </c>
      <c r="AV74" s="87">
        <f t="shared" si="5"/>
        <v>8</v>
      </c>
      <c r="AW74" s="87" t="str">
        <f t="shared" si="10"/>
        <v>No Aplica</v>
      </c>
      <c r="AX74" s="87" t="s">
        <v>78</v>
      </c>
      <c r="AY74" s="87"/>
      <c r="AZ74" s="87"/>
      <c r="BA74" s="91" t="s">
        <v>469</v>
      </c>
      <c r="BB74" s="84"/>
      <c r="BC74" s="85"/>
      <c r="BD74" s="85"/>
    </row>
    <row r="75" spans="1:56" s="86" customFormat="1" ht="46.5" customHeight="1">
      <c r="A75" s="87">
        <v>70</v>
      </c>
      <c r="B75" s="79" t="s">
        <v>470</v>
      </c>
      <c r="C75" s="88">
        <v>45357</v>
      </c>
      <c r="D75" s="89">
        <v>0.625</v>
      </c>
      <c r="E75" s="87" t="s">
        <v>58</v>
      </c>
      <c r="F75" s="87" t="s">
        <v>61</v>
      </c>
      <c r="G75" s="87" t="s">
        <v>62</v>
      </c>
      <c r="H75" s="90" t="s">
        <v>392</v>
      </c>
      <c r="I75" s="90" t="s">
        <v>172</v>
      </c>
      <c r="J75" s="87" t="s">
        <v>173</v>
      </c>
      <c r="K75" s="87"/>
      <c r="L75" s="90" t="s">
        <v>72</v>
      </c>
      <c r="M75" s="90" t="s">
        <v>72</v>
      </c>
      <c r="N75" s="90" t="s">
        <v>72</v>
      </c>
      <c r="O75" s="90" t="str">
        <f t="shared" si="7"/>
        <v>Bosa, Kennedy</v>
      </c>
      <c r="P75" s="87" t="s">
        <v>472</v>
      </c>
      <c r="Q75" s="87" t="s">
        <v>473</v>
      </c>
      <c r="R75" s="87"/>
      <c r="S75" s="87"/>
      <c r="T75" s="87"/>
      <c r="U75" s="87"/>
      <c r="V75" s="90" t="str">
        <f t="shared" si="8"/>
        <v>Suroccidente</v>
      </c>
      <c r="W75" s="87" t="s">
        <v>474</v>
      </c>
      <c r="X75" s="87"/>
      <c r="Y75" s="87"/>
      <c r="Z75" s="87"/>
      <c r="AA75" s="87"/>
      <c r="AB75" s="87"/>
      <c r="AC75" s="90" t="str">
        <f t="shared" si="9"/>
        <v>Bosa</v>
      </c>
      <c r="AD75" s="87" t="s">
        <v>472</v>
      </c>
      <c r="AE75" s="87"/>
      <c r="AF75" s="87"/>
      <c r="AG75" s="87"/>
      <c r="AH75" s="87"/>
      <c r="AI75" s="87"/>
      <c r="AJ75" s="87"/>
      <c r="AK75" s="87"/>
      <c r="AL75" s="87"/>
      <c r="AM75" s="87"/>
      <c r="AN75" s="90" t="s">
        <v>160</v>
      </c>
      <c r="AO75" s="90" t="s">
        <v>475</v>
      </c>
      <c r="AP75" s="82"/>
      <c r="AQ75" s="87" t="s">
        <v>60</v>
      </c>
      <c r="AR75" s="87" t="s">
        <v>398</v>
      </c>
      <c r="AS75" s="82"/>
      <c r="AT75" s="87">
        <v>62</v>
      </c>
      <c r="AU75" s="87">
        <v>15</v>
      </c>
      <c r="AV75" s="87">
        <f t="shared" si="5"/>
        <v>77</v>
      </c>
      <c r="AW75" s="87" t="str">
        <f t="shared" si="10"/>
        <v>Lenguaje de señas, Horarios Acordes</v>
      </c>
      <c r="AX75" s="87" t="s">
        <v>211</v>
      </c>
      <c r="AY75" s="87" t="s">
        <v>213</v>
      </c>
      <c r="AZ75" s="87"/>
      <c r="BA75" s="91" t="s">
        <v>431</v>
      </c>
      <c r="BB75" s="84"/>
      <c r="BC75" s="85"/>
      <c r="BD75" s="85"/>
    </row>
    <row r="76" spans="1:56" s="86" customFormat="1" ht="46.5" customHeight="1">
      <c r="A76" s="78">
        <v>71</v>
      </c>
      <c r="B76" s="79" t="s">
        <v>476</v>
      </c>
      <c r="C76" s="88">
        <v>45357</v>
      </c>
      <c r="D76" s="89">
        <v>0.64583333333333337</v>
      </c>
      <c r="E76" s="87" t="s">
        <v>58</v>
      </c>
      <c r="F76" s="87" t="s">
        <v>61</v>
      </c>
      <c r="G76" s="87" t="s">
        <v>62</v>
      </c>
      <c r="H76" s="90" t="s">
        <v>477</v>
      </c>
      <c r="I76" s="90" t="s">
        <v>64</v>
      </c>
      <c r="J76" s="87" t="s">
        <v>70</v>
      </c>
      <c r="K76" s="87" t="s">
        <v>71</v>
      </c>
      <c r="L76" s="90" t="s">
        <v>72</v>
      </c>
      <c r="M76" s="90" t="s">
        <v>72</v>
      </c>
      <c r="N76" s="90" t="s">
        <v>72</v>
      </c>
      <c r="O76" s="90" t="str">
        <f t="shared" si="7"/>
        <v>Distrital</v>
      </c>
      <c r="P76" s="87" t="s">
        <v>73</v>
      </c>
      <c r="Q76" s="87"/>
      <c r="R76" s="87"/>
      <c r="S76" s="87"/>
      <c r="T76" s="87"/>
      <c r="U76" s="87"/>
      <c r="V76" s="90" t="str">
        <f t="shared" si="8"/>
        <v>Distrital</v>
      </c>
      <c r="W76" s="87" t="s">
        <v>73</v>
      </c>
      <c r="X76" s="87"/>
      <c r="Y76" s="87"/>
      <c r="Z76" s="87"/>
      <c r="AA76" s="87"/>
      <c r="AB76" s="87"/>
      <c r="AC76" s="90" t="str">
        <f t="shared" si="9"/>
        <v>Distrital</v>
      </c>
      <c r="AD76" s="87" t="s">
        <v>73</v>
      </c>
      <c r="AE76" s="87"/>
      <c r="AF76" s="87"/>
      <c r="AG76" s="87"/>
      <c r="AH76" s="87"/>
      <c r="AI76" s="87"/>
      <c r="AJ76" s="87"/>
      <c r="AK76" s="87"/>
      <c r="AL76" s="87"/>
      <c r="AM76" s="87"/>
      <c r="AN76" s="90" t="s">
        <v>160</v>
      </c>
      <c r="AO76" s="90" t="s">
        <v>478</v>
      </c>
      <c r="AP76" s="82"/>
      <c r="AQ76" s="87" t="s">
        <v>60</v>
      </c>
      <c r="AR76" s="87" t="s">
        <v>77</v>
      </c>
      <c r="AS76" s="82"/>
      <c r="AT76" s="87">
        <v>6</v>
      </c>
      <c r="AU76" s="87">
        <v>5</v>
      </c>
      <c r="AV76" s="87">
        <f t="shared" si="5"/>
        <v>11</v>
      </c>
      <c r="AW76" s="87" t="str">
        <f t="shared" si="10"/>
        <v>No Aplica</v>
      </c>
      <c r="AX76" s="87" t="s">
        <v>78</v>
      </c>
      <c r="AY76" s="87"/>
      <c r="AZ76" s="87"/>
      <c r="BA76" s="91" t="s">
        <v>479</v>
      </c>
      <c r="BB76" s="84"/>
      <c r="BC76" s="85"/>
      <c r="BD76" s="85"/>
    </row>
    <row r="77" spans="1:56" s="86" customFormat="1" ht="46.5" customHeight="1">
      <c r="A77" s="87">
        <v>72</v>
      </c>
      <c r="B77" s="79" t="s">
        <v>271</v>
      </c>
      <c r="C77" s="88">
        <v>45358</v>
      </c>
      <c r="D77" s="89">
        <v>0.33333333333333331</v>
      </c>
      <c r="E77" s="87" t="s">
        <v>58</v>
      </c>
      <c r="F77" s="87" t="s">
        <v>61</v>
      </c>
      <c r="G77" s="87" t="s">
        <v>95</v>
      </c>
      <c r="H77" s="90" t="s">
        <v>272</v>
      </c>
      <c r="I77" s="90" t="s">
        <v>172</v>
      </c>
      <c r="J77" s="87" t="s">
        <v>70</v>
      </c>
      <c r="K77" s="87" t="s">
        <v>71</v>
      </c>
      <c r="L77" s="90" t="s">
        <v>72</v>
      </c>
      <c r="M77" s="90" t="s">
        <v>72</v>
      </c>
      <c r="N77" s="90" t="s">
        <v>72</v>
      </c>
      <c r="O77" s="90" t="str">
        <f t="shared" si="7"/>
        <v>Distrital</v>
      </c>
      <c r="P77" s="87" t="s">
        <v>73</v>
      </c>
      <c r="Q77" s="87"/>
      <c r="R77" s="87"/>
      <c r="S77" s="87"/>
      <c r="T77" s="87"/>
      <c r="U77" s="87"/>
      <c r="V77" s="90" t="str">
        <f t="shared" si="8"/>
        <v>Distrital</v>
      </c>
      <c r="W77" s="87" t="s">
        <v>73</v>
      </c>
      <c r="X77" s="87"/>
      <c r="Y77" s="87"/>
      <c r="Z77" s="87"/>
      <c r="AA77" s="87"/>
      <c r="AB77" s="87"/>
      <c r="AC77" s="90" t="str">
        <f t="shared" si="9"/>
        <v>Distrital</v>
      </c>
      <c r="AD77" s="87" t="s">
        <v>73</v>
      </c>
      <c r="AE77" s="87"/>
      <c r="AF77" s="87"/>
      <c r="AG77" s="87"/>
      <c r="AH77" s="87"/>
      <c r="AI77" s="87"/>
      <c r="AJ77" s="87"/>
      <c r="AK77" s="87"/>
      <c r="AL77" s="87"/>
      <c r="AM77" s="87"/>
      <c r="AN77" s="90" t="s">
        <v>160</v>
      </c>
      <c r="AO77" s="92" t="s">
        <v>480</v>
      </c>
      <c r="AP77" s="82"/>
      <c r="AQ77" s="87" t="s">
        <v>60</v>
      </c>
      <c r="AR77" s="87" t="s">
        <v>77</v>
      </c>
      <c r="AS77" s="82"/>
      <c r="AT77" s="87">
        <v>18</v>
      </c>
      <c r="AU77" s="87">
        <v>3</v>
      </c>
      <c r="AV77" s="87">
        <f t="shared" si="5"/>
        <v>21</v>
      </c>
      <c r="AW77" s="87" t="str">
        <f t="shared" si="10"/>
        <v>No Aplica</v>
      </c>
      <c r="AX77" s="87" t="s">
        <v>78</v>
      </c>
      <c r="AY77" s="87"/>
      <c r="AZ77" s="87"/>
      <c r="BA77" s="91" t="s">
        <v>481</v>
      </c>
      <c r="BB77" s="84"/>
      <c r="BC77" s="85"/>
      <c r="BD77" s="85"/>
    </row>
    <row r="78" spans="1:56" s="86" customFormat="1" ht="46.5" customHeight="1">
      <c r="A78" s="78">
        <v>73</v>
      </c>
      <c r="B78" s="79" t="s">
        <v>482</v>
      </c>
      <c r="C78" s="88">
        <v>45358</v>
      </c>
      <c r="D78" s="89">
        <v>0.33333333333333331</v>
      </c>
      <c r="E78" s="87" t="s">
        <v>93</v>
      </c>
      <c r="F78" s="87" t="s">
        <v>321</v>
      </c>
      <c r="G78" s="87" t="s">
        <v>62</v>
      </c>
      <c r="H78" s="90" t="s">
        <v>483</v>
      </c>
      <c r="I78" s="90" t="s">
        <v>64</v>
      </c>
      <c r="J78" s="87" t="s">
        <v>70</v>
      </c>
      <c r="K78" s="87" t="s">
        <v>324</v>
      </c>
      <c r="L78" s="90" t="s">
        <v>484</v>
      </c>
      <c r="M78" s="91" t="s">
        <v>485</v>
      </c>
      <c r="N78" s="90" t="s">
        <v>486</v>
      </c>
      <c r="O78" s="90" t="str">
        <f t="shared" si="7"/>
        <v>La Candelaria</v>
      </c>
      <c r="P78" s="87" t="s">
        <v>487</v>
      </c>
      <c r="Q78" s="87"/>
      <c r="R78" s="87"/>
      <c r="S78" s="87"/>
      <c r="T78" s="87"/>
      <c r="U78" s="87"/>
      <c r="V78" s="90" t="str">
        <f t="shared" si="8"/>
        <v>Centro Ampliado</v>
      </c>
      <c r="W78" s="87" t="s">
        <v>415</v>
      </c>
      <c r="X78" s="87"/>
      <c r="Y78" s="87"/>
      <c r="Z78" s="87"/>
      <c r="AA78" s="87"/>
      <c r="AB78" s="87"/>
      <c r="AC78" s="90" t="str">
        <f t="shared" si="9"/>
        <v>Centro Histórico</v>
      </c>
      <c r="AD78" s="87" t="s">
        <v>488</v>
      </c>
      <c r="AE78" s="87"/>
      <c r="AF78" s="87"/>
      <c r="AG78" s="87"/>
      <c r="AH78" s="87"/>
      <c r="AI78" s="87"/>
      <c r="AJ78" s="87"/>
      <c r="AK78" s="87"/>
      <c r="AL78" s="87"/>
      <c r="AM78" s="87"/>
      <c r="AN78" s="90" t="s">
        <v>160</v>
      </c>
      <c r="AO78" s="94" t="s">
        <v>489</v>
      </c>
      <c r="AP78" s="82"/>
      <c r="AQ78" s="87" t="s">
        <v>59</v>
      </c>
      <c r="AR78" s="87" t="s">
        <v>80</v>
      </c>
      <c r="AS78" s="82"/>
      <c r="AT78" s="87">
        <v>20</v>
      </c>
      <c r="AU78" s="87">
        <v>1</v>
      </c>
      <c r="AV78" s="87">
        <f t="shared" si="5"/>
        <v>21</v>
      </c>
      <c r="AW78" s="87" t="str">
        <f t="shared" si="10"/>
        <v>No Aplica</v>
      </c>
      <c r="AX78" s="87" t="s">
        <v>78</v>
      </c>
      <c r="AY78" s="87"/>
      <c r="AZ78" s="87"/>
      <c r="BA78" s="91" t="s">
        <v>490</v>
      </c>
      <c r="BB78" s="84"/>
      <c r="BC78" s="85"/>
      <c r="BD78" s="85"/>
    </row>
    <row r="79" spans="1:56" s="86" customFormat="1" ht="46.5" customHeight="1">
      <c r="A79" s="87">
        <v>74</v>
      </c>
      <c r="B79" s="79" t="s">
        <v>491</v>
      </c>
      <c r="C79" s="88">
        <v>45358</v>
      </c>
      <c r="D79" s="89">
        <v>0.39583333333333331</v>
      </c>
      <c r="E79" s="87" t="s">
        <v>58</v>
      </c>
      <c r="F79" s="87" t="s">
        <v>61</v>
      </c>
      <c r="G79" s="87" t="s">
        <v>95</v>
      </c>
      <c r="H79" s="90" t="s">
        <v>375</v>
      </c>
      <c r="I79" s="90" t="s">
        <v>64</v>
      </c>
      <c r="J79" s="87" t="s">
        <v>70</v>
      </c>
      <c r="K79" s="87" t="s">
        <v>71</v>
      </c>
      <c r="L79" s="91" t="s">
        <v>380</v>
      </c>
      <c r="M79" s="91">
        <v>3143480013</v>
      </c>
      <c r="N79" s="91" t="s">
        <v>381</v>
      </c>
      <c r="O79" s="90" t="str">
        <f t="shared" si="7"/>
        <v>Distrital</v>
      </c>
      <c r="P79" s="87" t="s">
        <v>73</v>
      </c>
      <c r="Q79" s="87"/>
      <c r="R79" s="87"/>
      <c r="S79" s="87"/>
      <c r="T79" s="87"/>
      <c r="U79" s="87"/>
      <c r="V79" s="90" t="str">
        <f t="shared" si="8"/>
        <v>Distrital</v>
      </c>
      <c r="W79" s="87" t="s">
        <v>73</v>
      </c>
      <c r="X79" s="87"/>
      <c r="Y79" s="87"/>
      <c r="Z79" s="87"/>
      <c r="AA79" s="87"/>
      <c r="AB79" s="87"/>
      <c r="AC79" s="90" t="str">
        <f t="shared" si="9"/>
        <v>Distrital</v>
      </c>
      <c r="AD79" s="87" t="s">
        <v>73</v>
      </c>
      <c r="AE79" s="87"/>
      <c r="AF79" s="87"/>
      <c r="AG79" s="87"/>
      <c r="AH79" s="87"/>
      <c r="AI79" s="87"/>
      <c r="AJ79" s="87"/>
      <c r="AK79" s="87"/>
      <c r="AL79" s="87"/>
      <c r="AM79" s="87"/>
      <c r="AN79" s="90" t="s">
        <v>160</v>
      </c>
      <c r="AO79" s="92" t="s">
        <v>492</v>
      </c>
      <c r="AP79" s="82"/>
      <c r="AQ79" s="87" t="s">
        <v>60</v>
      </c>
      <c r="AR79" s="87" t="s">
        <v>77</v>
      </c>
      <c r="AS79" s="82"/>
      <c r="AT79" s="87">
        <v>63</v>
      </c>
      <c r="AU79" s="87">
        <v>1</v>
      </c>
      <c r="AV79" s="87">
        <f t="shared" si="5"/>
        <v>64</v>
      </c>
      <c r="AW79" s="87" t="str">
        <f t="shared" si="10"/>
        <v>No Aplica</v>
      </c>
      <c r="AX79" s="87" t="s">
        <v>78</v>
      </c>
      <c r="AY79" s="87"/>
      <c r="AZ79" s="87"/>
      <c r="BA79" s="91" t="s">
        <v>493</v>
      </c>
      <c r="BB79" s="84"/>
      <c r="BC79" s="85"/>
      <c r="BD79" s="85"/>
    </row>
    <row r="80" spans="1:56" s="86" customFormat="1" ht="46.5" customHeight="1">
      <c r="A80" s="78">
        <v>75</v>
      </c>
      <c r="B80" s="79" t="s">
        <v>494</v>
      </c>
      <c r="C80" s="88">
        <v>45358</v>
      </c>
      <c r="D80" s="89">
        <v>0.41666666666666669</v>
      </c>
      <c r="E80" s="87" t="s">
        <v>58</v>
      </c>
      <c r="F80" s="87" t="s">
        <v>61</v>
      </c>
      <c r="G80" s="87" t="s">
        <v>62</v>
      </c>
      <c r="H80" s="90" t="s">
        <v>495</v>
      </c>
      <c r="I80" s="90" t="s">
        <v>188</v>
      </c>
      <c r="J80" s="87" t="s">
        <v>119</v>
      </c>
      <c r="K80" s="87" t="s">
        <v>209</v>
      </c>
      <c r="L80" s="90" t="s">
        <v>496</v>
      </c>
      <c r="M80" s="90" t="s">
        <v>497</v>
      </c>
      <c r="N80" s="90" t="s">
        <v>72</v>
      </c>
      <c r="O80" s="90" t="str">
        <f t="shared" si="7"/>
        <v>Distrital</v>
      </c>
      <c r="P80" s="87" t="s">
        <v>73</v>
      </c>
      <c r="Q80" s="87"/>
      <c r="R80" s="87"/>
      <c r="S80" s="87"/>
      <c r="T80" s="87"/>
      <c r="U80" s="87"/>
      <c r="V80" s="90" t="str">
        <f t="shared" si="8"/>
        <v>Distrital</v>
      </c>
      <c r="W80" s="87" t="s">
        <v>73</v>
      </c>
      <c r="X80" s="87"/>
      <c r="Y80" s="87"/>
      <c r="Z80" s="87"/>
      <c r="AA80" s="87"/>
      <c r="AB80" s="87"/>
      <c r="AC80" s="90" t="str">
        <f t="shared" si="9"/>
        <v>Distrital</v>
      </c>
      <c r="AD80" s="87" t="s">
        <v>73</v>
      </c>
      <c r="AE80" s="87"/>
      <c r="AF80" s="87"/>
      <c r="AG80" s="87"/>
      <c r="AH80" s="87"/>
      <c r="AI80" s="87"/>
      <c r="AJ80" s="87"/>
      <c r="AK80" s="87"/>
      <c r="AL80" s="87"/>
      <c r="AM80" s="87"/>
      <c r="AN80" s="90" t="s">
        <v>160</v>
      </c>
      <c r="AO80" s="90" t="s">
        <v>498</v>
      </c>
      <c r="AP80" s="82"/>
      <c r="AQ80" s="87" t="s">
        <v>60</v>
      </c>
      <c r="AR80" s="87" t="s">
        <v>77</v>
      </c>
      <c r="AS80" s="82"/>
      <c r="AT80" s="87">
        <v>17</v>
      </c>
      <c r="AU80" s="87">
        <v>1</v>
      </c>
      <c r="AV80" s="87">
        <f t="shared" si="5"/>
        <v>18</v>
      </c>
      <c r="AW80" s="87" t="str">
        <f t="shared" si="10"/>
        <v>No Aplica</v>
      </c>
      <c r="AX80" s="87" t="s">
        <v>78</v>
      </c>
      <c r="AY80" s="87"/>
      <c r="AZ80" s="87"/>
      <c r="BA80" s="91" t="s">
        <v>499</v>
      </c>
      <c r="BB80" s="84"/>
      <c r="BC80" s="85"/>
      <c r="BD80" s="85"/>
    </row>
    <row r="81" spans="1:56" s="86" customFormat="1" ht="46.5" customHeight="1">
      <c r="A81" s="87">
        <v>76</v>
      </c>
      <c r="B81" s="79" t="s">
        <v>500</v>
      </c>
      <c r="C81" s="88">
        <v>45358</v>
      </c>
      <c r="D81" s="89">
        <v>0.41666666666666669</v>
      </c>
      <c r="E81" s="87" t="s">
        <v>58</v>
      </c>
      <c r="F81" s="87" t="s">
        <v>61</v>
      </c>
      <c r="G81" s="87" t="s">
        <v>95</v>
      </c>
      <c r="H81" s="90" t="s">
        <v>501</v>
      </c>
      <c r="I81" s="90" t="s">
        <v>64</v>
      </c>
      <c r="J81" s="87" t="s">
        <v>70</v>
      </c>
      <c r="K81" s="87" t="s">
        <v>71</v>
      </c>
      <c r="L81" s="90" t="s">
        <v>72</v>
      </c>
      <c r="M81" s="90" t="s">
        <v>72</v>
      </c>
      <c r="N81" s="90" t="s">
        <v>72</v>
      </c>
      <c r="O81" s="90" t="str">
        <f t="shared" si="7"/>
        <v>Distrital</v>
      </c>
      <c r="P81" s="87" t="s">
        <v>73</v>
      </c>
      <c r="Q81" s="87"/>
      <c r="R81" s="87"/>
      <c r="S81" s="87"/>
      <c r="T81" s="87"/>
      <c r="U81" s="87"/>
      <c r="V81" s="90" t="str">
        <f t="shared" si="8"/>
        <v>Distrital</v>
      </c>
      <c r="W81" s="87" t="s">
        <v>73</v>
      </c>
      <c r="X81" s="87"/>
      <c r="Y81" s="87"/>
      <c r="Z81" s="87"/>
      <c r="AA81" s="87"/>
      <c r="AB81" s="87"/>
      <c r="AC81" s="90" t="str">
        <f t="shared" si="9"/>
        <v>Distrital</v>
      </c>
      <c r="AD81" s="87" t="s">
        <v>73</v>
      </c>
      <c r="AE81" s="87"/>
      <c r="AF81" s="87"/>
      <c r="AG81" s="87"/>
      <c r="AH81" s="87"/>
      <c r="AI81" s="87"/>
      <c r="AJ81" s="87"/>
      <c r="AK81" s="87"/>
      <c r="AL81" s="87"/>
      <c r="AM81" s="87"/>
      <c r="AN81" s="90" t="s">
        <v>160</v>
      </c>
      <c r="AO81" s="92" t="s">
        <v>502</v>
      </c>
      <c r="AP81" s="82"/>
      <c r="AQ81" s="87" t="s">
        <v>60</v>
      </c>
      <c r="AR81" s="87" t="s">
        <v>77</v>
      </c>
      <c r="AS81" s="82"/>
      <c r="AT81" s="87">
        <v>0</v>
      </c>
      <c r="AU81" s="87">
        <v>44</v>
      </c>
      <c r="AV81" s="87">
        <f t="shared" si="5"/>
        <v>44</v>
      </c>
      <c r="AW81" s="87" t="str">
        <f t="shared" si="10"/>
        <v>No Aplica</v>
      </c>
      <c r="AX81" s="87" t="s">
        <v>78</v>
      </c>
      <c r="AY81" s="87"/>
      <c r="AZ81" s="87"/>
      <c r="BA81" s="91" t="s">
        <v>503</v>
      </c>
      <c r="BB81" s="84"/>
      <c r="BC81" s="85"/>
      <c r="BD81" s="85"/>
    </row>
    <row r="82" spans="1:56" s="86" customFormat="1" ht="46.5" customHeight="1">
      <c r="A82" s="78">
        <v>77</v>
      </c>
      <c r="B82" s="79" t="s">
        <v>504</v>
      </c>
      <c r="C82" s="88">
        <v>45358</v>
      </c>
      <c r="D82" s="89">
        <v>0.45833333333333331</v>
      </c>
      <c r="E82" s="87" t="s">
        <v>58</v>
      </c>
      <c r="F82" s="87" t="s">
        <v>61</v>
      </c>
      <c r="G82" s="87" t="s">
        <v>95</v>
      </c>
      <c r="H82" s="90" t="s">
        <v>505</v>
      </c>
      <c r="I82" s="90" t="s">
        <v>64</v>
      </c>
      <c r="J82" s="87" t="s">
        <v>70</v>
      </c>
      <c r="K82" s="87" t="s">
        <v>71</v>
      </c>
      <c r="L82" s="90" t="s">
        <v>506</v>
      </c>
      <c r="M82" s="90" t="s">
        <v>72</v>
      </c>
      <c r="N82" s="90" t="s">
        <v>507</v>
      </c>
      <c r="O82" s="90" t="str">
        <f t="shared" si="7"/>
        <v>Distrital</v>
      </c>
      <c r="P82" s="87" t="s">
        <v>73</v>
      </c>
      <c r="Q82" s="87"/>
      <c r="R82" s="87"/>
      <c r="S82" s="87"/>
      <c r="T82" s="87"/>
      <c r="U82" s="87"/>
      <c r="V82" s="90" t="str">
        <f t="shared" si="8"/>
        <v>Distrital</v>
      </c>
      <c r="W82" s="87" t="s">
        <v>73</v>
      </c>
      <c r="X82" s="87"/>
      <c r="Y82" s="87"/>
      <c r="Z82" s="87"/>
      <c r="AA82" s="87"/>
      <c r="AB82" s="87"/>
      <c r="AC82" s="90" t="str">
        <f t="shared" si="9"/>
        <v>Distrital</v>
      </c>
      <c r="AD82" s="87" t="s">
        <v>73</v>
      </c>
      <c r="AE82" s="87"/>
      <c r="AF82" s="87"/>
      <c r="AG82" s="87"/>
      <c r="AH82" s="87"/>
      <c r="AI82" s="87"/>
      <c r="AJ82" s="87"/>
      <c r="AK82" s="87"/>
      <c r="AL82" s="87"/>
      <c r="AM82" s="87"/>
      <c r="AN82" s="90" t="s">
        <v>160</v>
      </c>
      <c r="AO82" s="92" t="s">
        <v>508</v>
      </c>
      <c r="AP82" s="82"/>
      <c r="AQ82" s="87" t="s">
        <v>60</v>
      </c>
      <c r="AR82" s="87" t="s">
        <v>77</v>
      </c>
      <c r="AS82" s="82"/>
      <c r="AT82" s="87">
        <v>7</v>
      </c>
      <c r="AU82" s="87">
        <v>4</v>
      </c>
      <c r="AV82" s="87">
        <f t="shared" si="5"/>
        <v>11</v>
      </c>
      <c r="AW82" s="87" t="str">
        <f t="shared" si="10"/>
        <v>No Aplica</v>
      </c>
      <c r="AX82" s="87" t="s">
        <v>78</v>
      </c>
      <c r="AY82" s="87"/>
      <c r="AZ82" s="87"/>
      <c r="BA82" s="91" t="s">
        <v>509</v>
      </c>
      <c r="BB82" s="84"/>
      <c r="BC82" s="85"/>
      <c r="BD82" s="85"/>
    </row>
    <row r="83" spans="1:56" s="86" customFormat="1" ht="46.5" customHeight="1">
      <c r="A83" s="87">
        <v>78</v>
      </c>
      <c r="B83" s="79" t="s">
        <v>510</v>
      </c>
      <c r="C83" s="88">
        <v>45358</v>
      </c>
      <c r="D83" s="89">
        <v>0.45833333333333331</v>
      </c>
      <c r="E83" s="87" t="s">
        <v>93</v>
      </c>
      <c r="F83" s="87" t="s">
        <v>102</v>
      </c>
      <c r="G83" s="87" t="s">
        <v>62</v>
      </c>
      <c r="H83" s="90" t="s">
        <v>511</v>
      </c>
      <c r="I83" s="90" t="s">
        <v>172</v>
      </c>
      <c r="J83" s="87" t="s">
        <v>119</v>
      </c>
      <c r="K83" s="87" t="s">
        <v>129</v>
      </c>
      <c r="L83" s="90" t="s">
        <v>512</v>
      </c>
      <c r="M83" s="91" t="s">
        <v>513</v>
      </c>
      <c r="N83" s="90" t="s">
        <v>514</v>
      </c>
      <c r="O83" s="90" t="str">
        <f t="shared" si="7"/>
        <v>Distrital</v>
      </c>
      <c r="P83" s="87" t="s">
        <v>73</v>
      </c>
      <c r="Q83" s="87"/>
      <c r="R83" s="87"/>
      <c r="S83" s="87"/>
      <c r="T83" s="87"/>
      <c r="U83" s="87"/>
      <c r="V83" s="90" t="str">
        <f t="shared" si="8"/>
        <v>Distrital</v>
      </c>
      <c r="W83" s="87" t="s">
        <v>73</v>
      </c>
      <c r="X83" s="87"/>
      <c r="Y83" s="87"/>
      <c r="Z83" s="87"/>
      <c r="AA83" s="87"/>
      <c r="AB83" s="87"/>
      <c r="AC83" s="90" t="str">
        <f t="shared" si="9"/>
        <v>Distrital</v>
      </c>
      <c r="AD83" s="87" t="s">
        <v>73</v>
      </c>
      <c r="AE83" s="87"/>
      <c r="AF83" s="87"/>
      <c r="AG83" s="87"/>
      <c r="AH83" s="87"/>
      <c r="AI83" s="87"/>
      <c r="AJ83" s="87"/>
      <c r="AK83" s="87"/>
      <c r="AL83" s="87"/>
      <c r="AM83" s="87"/>
      <c r="AN83" s="90" t="s">
        <v>160</v>
      </c>
      <c r="AO83" s="90" t="s">
        <v>515</v>
      </c>
      <c r="AP83" s="82"/>
      <c r="AQ83" s="87" t="s">
        <v>59</v>
      </c>
      <c r="AR83" s="87" t="s">
        <v>80</v>
      </c>
      <c r="AS83" s="82"/>
      <c r="AT83" s="87">
        <v>4</v>
      </c>
      <c r="AU83" s="87">
        <v>4</v>
      </c>
      <c r="AV83" s="87">
        <f t="shared" si="5"/>
        <v>8</v>
      </c>
      <c r="AW83" s="87" t="str">
        <f t="shared" si="10"/>
        <v>No Aplica</v>
      </c>
      <c r="AX83" s="87" t="s">
        <v>78</v>
      </c>
      <c r="AY83" s="87"/>
      <c r="AZ83" s="87"/>
      <c r="BA83" s="91" t="s">
        <v>516</v>
      </c>
      <c r="BB83" s="84"/>
      <c r="BC83" s="85"/>
      <c r="BD83" s="85"/>
    </row>
    <row r="84" spans="1:56" s="86" customFormat="1" ht="46.5" customHeight="1">
      <c r="A84" s="78">
        <v>79</v>
      </c>
      <c r="B84" s="79" t="s">
        <v>517</v>
      </c>
      <c r="C84" s="88">
        <v>45358</v>
      </c>
      <c r="D84" s="89">
        <v>0.58333333333333337</v>
      </c>
      <c r="E84" s="87" t="s">
        <v>93</v>
      </c>
      <c r="F84" s="87" t="s">
        <v>321</v>
      </c>
      <c r="G84" s="87" t="s">
        <v>62</v>
      </c>
      <c r="H84" s="90" t="s">
        <v>518</v>
      </c>
      <c r="I84" s="90" t="s">
        <v>64</v>
      </c>
      <c r="J84" s="87" t="s">
        <v>70</v>
      </c>
      <c r="K84" s="87" t="s">
        <v>324</v>
      </c>
      <c r="L84" s="90" t="s">
        <v>519</v>
      </c>
      <c r="M84" s="90" t="s">
        <v>72</v>
      </c>
      <c r="N84" s="90" t="s">
        <v>520</v>
      </c>
      <c r="O84" s="90" t="str">
        <f t="shared" si="7"/>
        <v>San Cristóbal</v>
      </c>
      <c r="P84" s="87" t="s">
        <v>370</v>
      </c>
      <c r="Q84" s="87"/>
      <c r="R84" s="87"/>
      <c r="S84" s="87"/>
      <c r="T84" s="87"/>
      <c r="U84" s="87"/>
      <c r="V84" s="90" t="str">
        <f t="shared" si="8"/>
        <v>Suroriente, Ruralidad</v>
      </c>
      <c r="W84" s="87" t="s">
        <v>108</v>
      </c>
      <c r="X84" s="87" t="s">
        <v>109</v>
      </c>
      <c r="Y84" s="87"/>
      <c r="Z84" s="87"/>
      <c r="AA84" s="87"/>
      <c r="AB84" s="87"/>
      <c r="AC84" s="90" t="str">
        <f t="shared" si="9"/>
        <v>San Cristobal, Cerros Orientales</v>
      </c>
      <c r="AD84" s="87" t="s">
        <v>371</v>
      </c>
      <c r="AE84" s="87" t="s">
        <v>222</v>
      </c>
      <c r="AF84" s="87"/>
      <c r="AG84" s="87"/>
      <c r="AH84" s="87"/>
      <c r="AI84" s="87"/>
      <c r="AJ84" s="87"/>
      <c r="AK84" s="87"/>
      <c r="AL84" s="87"/>
      <c r="AM84" s="87"/>
      <c r="AN84" s="90" t="s">
        <v>160</v>
      </c>
      <c r="AO84" s="94" t="s">
        <v>521</v>
      </c>
      <c r="AP84" s="82"/>
      <c r="AQ84" s="87" t="s">
        <v>59</v>
      </c>
      <c r="AR84" s="87" t="s">
        <v>80</v>
      </c>
      <c r="AS84" s="82"/>
      <c r="AT84" s="87">
        <v>21</v>
      </c>
      <c r="AU84" s="87">
        <v>1</v>
      </c>
      <c r="AV84" s="87">
        <f t="shared" si="5"/>
        <v>22</v>
      </c>
      <c r="AW84" s="87" t="str">
        <f t="shared" si="10"/>
        <v>No Aplica</v>
      </c>
      <c r="AX84" s="87" t="s">
        <v>78</v>
      </c>
      <c r="AY84" s="87"/>
      <c r="AZ84" s="87"/>
      <c r="BA84" s="91" t="s">
        <v>522</v>
      </c>
      <c r="BB84" s="84"/>
      <c r="BC84" s="85"/>
      <c r="BD84" s="85"/>
    </row>
    <row r="85" spans="1:56" s="86" customFormat="1" ht="46.5" customHeight="1">
      <c r="A85" s="87">
        <v>80</v>
      </c>
      <c r="B85" s="79" t="s">
        <v>523</v>
      </c>
      <c r="C85" s="88">
        <v>45358</v>
      </c>
      <c r="D85" s="89">
        <v>0.58333333333333337</v>
      </c>
      <c r="E85" s="87" t="s">
        <v>93</v>
      </c>
      <c r="F85" s="87" t="s">
        <v>321</v>
      </c>
      <c r="G85" s="87" t="s">
        <v>95</v>
      </c>
      <c r="H85" s="90" t="s">
        <v>524</v>
      </c>
      <c r="I85" s="90" t="s">
        <v>64</v>
      </c>
      <c r="J85" s="87" t="s">
        <v>70</v>
      </c>
      <c r="K85" s="87" t="s">
        <v>324</v>
      </c>
      <c r="L85" s="90" t="s">
        <v>525</v>
      </c>
      <c r="M85" s="91">
        <v>3004241263</v>
      </c>
      <c r="N85" s="90" t="s">
        <v>526</v>
      </c>
      <c r="O85" s="90" t="str">
        <f t="shared" si="7"/>
        <v>Usaquén</v>
      </c>
      <c r="P85" s="87" t="s">
        <v>428</v>
      </c>
      <c r="Q85" s="87"/>
      <c r="R85" s="87"/>
      <c r="S85" s="87"/>
      <c r="T85" s="87"/>
      <c r="U85" s="87"/>
      <c r="V85" s="90" t="str">
        <f t="shared" si="8"/>
        <v>Norte, Ruralidad</v>
      </c>
      <c r="W85" s="87" t="s">
        <v>429</v>
      </c>
      <c r="X85" s="87" t="s">
        <v>109</v>
      </c>
      <c r="Y85" s="87"/>
      <c r="Z85" s="87"/>
      <c r="AA85" s="87"/>
      <c r="AB85" s="87"/>
      <c r="AC85" s="90" t="str">
        <f t="shared" si="9"/>
        <v>Usaquén, Toberín, Torca, Cerros Orientales</v>
      </c>
      <c r="AD85" s="87" t="s">
        <v>428</v>
      </c>
      <c r="AE85" s="87" t="s">
        <v>527</v>
      </c>
      <c r="AF85" s="87" t="s">
        <v>528</v>
      </c>
      <c r="AG85" s="87" t="s">
        <v>222</v>
      </c>
      <c r="AH85" s="87"/>
      <c r="AI85" s="87"/>
      <c r="AJ85" s="87"/>
      <c r="AK85" s="87"/>
      <c r="AL85" s="87"/>
      <c r="AM85" s="87"/>
      <c r="AN85" s="90" t="s">
        <v>160</v>
      </c>
      <c r="AO85" s="94" t="s">
        <v>529</v>
      </c>
      <c r="AP85" s="82"/>
      <c r="AQ85" s="87" t="s">
        <v>59</v>
      </c>
      <c r="AR85" s="87" t="s">
        <v>80</v>
      </c>
      <c r="AS85" s="82"/>
      <c r="AT85" s="87">
        <v>15</v>
      </c>
      <c r="AU85" s="87">
        <v>1</v>
      </c>
      <c r="AV85" s="87">
        <f t="shared" si="5"/>
        <v>16</v>
      </c>
      <c r="AW85" s="87" t="str">
        <f t="shared" si="10"/>
        <v>No Aplica</v>
      </c>
      <c r="AX85" s="87" t="s">
        <v>78</v>
      </c>
      <c r="AY85" s="87"/>
      <c r="AZ85" s="87"/>
      <c r="BA85" s="91" t="s">
        <v>530</v>
      </c>
      <c r="BB85" s="84"/>
      <c r="BC85" s="85"/>
      <c r="BD85" s="85"/>
    </row>
    <row r="86" spans="1:56" s="86" customFormat="1" ht="46.5" customHeight="1">
      <c r="A86" s="78">
        <v>81</v>
      </c>
      <c r="B86" s="79" t="s">
        <v>531</v>
      </c>
      <c r="C86" s="88">
        <v>45358</v>
      </c>
      <c r="D86" s="89">
        <v>0.60416666666666663</v>
      </c>
      <c r="E86" s="87" t="s">
        <v>58</v>
      </c>
      <c r="F86" s="87" t="s">
        <v>61</v>
      </c>
      <c r="G86" s="87" t="s">
        <v>62</v>
      </c>
      <c r="H86" s="90" t="s">
        <v>532</v>
      </c>
      <c r="I86" s="90" t="s">
        <v>188</v>
      </c>
      <c r="J86" s="87" t="s">
        <v>376</v>
      </c>
      <c r="K86" s="87" t="s">
        <v>533</v>
      </c>
      <c r="L86" s="90" t="s">
        <v>534</v>
      </c>
      <c r="M86" s="91">
        <v>3106975438</v>
      </c>
      <c r="N86" s="90" t="s">
        <v>535</v>
      </c>
      <c r="O86" s="90" t="str">
        <f t="shared" si="7"/>
        <v>Distrital</v>
      </c>
      <c r="P86" s="87" t="s">
        <v>73</v>
      </c>
      <c r="Q86" s="87"/>
      <c r="R86" s="87"/>
      <c r="S86" s="87"/>
      <c r="T86" s="87"/>
      <c r="U86" s="87"/>
      <c r="V86" s="90" t="str">
        <f t="shared" si="8"/>
        <v>Distrital</v>
      </c>
      <c r="W86" s="87" t="s">
        <v>73</v>
      </c>
      <c r="X86" s="87"/>
      <c r="Y86" s="87"/>
      <c r="Z86" s="87"/>
      <c r="AA86" s="87"/>
      <c r="AB86" s="87"/>
      <c r="AC86" s="90" t="str">
        <f t="shared" si="9"/>
        <v>Distrital</v>
      </c>
      <c r="AD86" s="87" t="s">
        <v>73</v>
      </c>
      <c r="AE86" s="87"/>
      <c r="AF86" s="87"/>
      <c r="AG86" s="87"/>
      <c r="AH86" s="87"/>
      <c r="AI86" s="87"/>
      <c r="AJ86" s="87"/>
      <c r="AK86" s="87"/>
      <c r="AL86" s="87"/>
      <c r="AM86" s="87"/>
      <c r="AN86" s="90" t="s">
        <v>160</v>
      </c>
      <c r="AO86" s="90" t="s">
        <v>536</v>
      </c>
      <c r="AP86" s="82"/>
      <c r="AQ86" s="87" t="s">
        <v>60</v>
      </c>
      <c r="AR86" s="87" t="s">
        <v>398</v>
      </c>
      <c r="AS86" s="82"/>
      <c r="AT86" s="87">
        <v>3</v>
      </c>
      <c r="AU86" s="87">
        <v>2</v>
      </c>
      <c r="AV86" s="87">
        <f t="shared" si="5"/>
        <v>5</v>
      </c>
      <c r="AW86" s="87" t="str">
        <f t="shared" si="10"/>
        <v>No Aplica</v>
      </c>
      <c r="AX86" s="87" t="s">
        <v>78</v>
      </c>
      <c r="AY86" s="87"/>
      <c r="AZ86" s="87"/>
      <c r="BA86" s="91" t="s">
        <v>537</v>
      </c>
      <c r="BB86" s="84"/>
      <c r="BC86" s="85"/>
      <c r="BD86" s="85"/>
    </row>
    <row r="87" spans="1:56" s="86" customFormat="1" ht="46.5" customHeight="1">
      <c r="A87" s="87">
        <v>82</v>
      </c>
      <c r="B87" s="79" t="s">
        <v>538</v>
      </c>
      <c r="C87" s="88">
        <v>45358</v>
      </c>
      <c r="D87" s="89">
        <v>0.64583333333333337</v>
      </c>
      <c r="E87" s="87" t="s">
        <v>58</v>
      </c>
      <c r="F87" s="87" t="s">
        <v>61</v>
      </c>
      <c r="G87" s="87" t="s">
        <v>62</v>
      </c>
      <c r="H87" s="90" t="s">
        <v>392</v>
      </c>
      <c r="I87" s="90" t="s">
        <v>172</v>
      </c>
      <c r="J87" s="87" t="s">
        <v>173</v>
      </c>
      <c r="K87" s="87"/>
      <c r="L87" s="90" t="s">
        <v>72</v>
      </c>
      <c r="M87" s="90" t="s">
        <v>72</v>
      </c>
      <c r="N87" s="90" t="s">
        <v>72</v>
      </c>
      <c r="O87" s="90" t="str">
        <f t="shared" si="7"/>
        <v>Santa Fe, Los Mártires, La Candelaria, Chapinero</v>
      </c>
      <c r="P87" s="87" t="s">
        <v>541</v>
      </c>
      <c r="Q87" s="87" t="s">
        <v>542</v>
      </c>
      <c r="R87" s="87" t="s">
        <v>487</v>
      </c>
      <c r="S87" s="87" t="s">
        <v>221</v>
      </c>
      <c r="T87" s="87"/>
      <c r="U87" s="87"/>
      <c r="V87" s="90" t="str">
        <f t="shared" si="8"/>
        <v>Centro Ampliado</v>
      </c>
      <c r="W87" s="87" t="s">
        <v>415</v>
      </c>
      <c r="X87" s="87"/>
      <c r="Y87" s="87"/>
      <c r="Z87" s="87"/>
      <c r="AA87" s="87"/>
      <c r="AB87" s="87"/>
      <c r="AC87" s="90" t="str">
        <f t="shared" si="9"/>
        <v>Centro Histórico</v>
      </c>
      <c r="AD87" s="87" t="s">
        <v>488</v>
      </c>
      <c r="AE87" s="87"/>
      <c r="AF87" s="87"/>
      <c r="AG87" s="87"/>
      <c r="AH87" s="87"/>
      <c r="AI87" s="87"/>
      <c r="AJ87" s="87"/>
      <c r="AK87" s="87"/>
      <c r="AL87" s="87"/>
      <c r="AM87" s="87"/>
      <c r="AN87" s="90" t="s">
        <v>160</v>
      </c>
      <c r="AO87" s="90" t="s">
        <v>543</v>
      </c>
      <c r="AP87" s="82"/>
      <c r="AQ87" s="87" t="s">
        <v>60</v>
      </c>
      <c r="AR87" s="87" t="s">
        <v>398</v>
      </c>
      <c r="AS87" s="82"/>
      <c r="AT87" s="87">
        <v>55</v>
      </c>
      <c r="AU87" s="87">
        <v>25</v>
      </c>
      <c r="AV87" s="87">
        <f t="shared" si="5"/>
        <v>80</v>
      </c>
      <c r="AW87" s="87" t="str">
        <f t="shared" si="10"/>
        <v>Lenguaje de señas</v>
      </c>
      <c r="AX87" s="87" t="s">
        <v>211</v>
      </c>
      <c r="AY87" s="87"/>
      <c r="AZ87" s="87"/>
      <c r="BA87" s="91" t="s">
        <v>431</v>
      </c>
      <c r="BB87" s="84"/>
      <c r="BC87" s="85"/>
      <c r="BD87" s="85"/>
    </row>
    <row r="88" spans="1:56" s="86" customFormat="1" ht="46.5" customHeight="1">
      <c r="A88" s="78">
        <v>83</v>
      </c>
      <c r="B88" s="79" t="s">
        <v>544</v>
      </c>
      <c r="C88" s="88">
        <v>45358</v>
      </c>
      <c r="D88" s="89">
        <v>0.66666666666666663</v>
      </c>
      <c r="E88" s="87" t="s">
        <v>58</v>
      </c>
      <c r="F88" s="87" t="s">
        <v>61</v>
      </c>
      <c r="G88" s="87" t="s">
        <v>62</v>
      </c>
      <c r="H88" s="90" t="s">
        <v>545</v>
      </c>
      <c r="I88" s="90" t="s">
        <v>64</v>
      </c>
      <c r="J88" s="87" t="s">
        <v>70</v>
      </c>
      <c r="K88" s="87" t="s">
        <v>71</v>
      </c>
      <c r="L88" s="90" t="s">
        <v>546</v>
      </c>
      <c r="M88" s="91">
        <v>3204288455</v>
      </c>
      <c r="N88" s="90" t="s">
        <v>547</v>
      </c>
      <c r="O88" s="90" t="str">
        <f t="shared" si="7"/>
        <v>Distrital</v>
      </c>
      <c r="P88" s="87" t="s">
        <v>73</v>
      </c>
      <c r="Q88" s="87"/>
      <c r="R88" s="87"/>
      <c r="S88" s="87"/>
      <c r="T88" s="87"/>
      <c r="U88" s="87"/>
      <c r="V88" s="90" t="str">
        <f t="shared" si="8"/>
        <v>Distrital</v>
      </c>
      <c r="W88" s="87" t="s">
        <v>73</v>
      </c>
      <c r="X88" s="87"/>
      <c r="Y88" s="87"/>
      <c r="Z88" s="87"/>
      <c r="AA88" s="87"/>
      <c r="AB88" s="87"/>
      <c r="AC88" s="90" t="str">
        <f t="shared" si="9"/>
        <v>Distrital</v>
      </c>
      <c r="AD88" s="87" t="s">
        <v>73</v>
      </c>
      <c r="AE88" s="87"/>
      <c r="AF88" s="87"/>
      <c r="AG88" s="87"/>
      <c r="AH88" s="87"/>
      <c r="AI88" s="87"/>
      <c r="AJ88" s="87"/>
      <c r="AK88" s="87"/>
      <c r="AL88" s="87"/>
      <c r="AM88" s="87"/>
      <c r="AN88" s="90" t="s">
        <v>160</v>
      </c>
      <c r="AO88" s="90" t="s">
        <v>548</v>
      </c>
      <c r="AP88" s="82"/>
      <c r="AQ88" s="87" t="s">
        <v>60</v>
      </c>
      <c r="AR88" s="87" t="s">
        <v>77</v>
      </c>
      <c r="AS88" s="82"/>
      <c r="AT88" s="87">
        <v>8</v>
      </c>
      <c r="AU88" s="87">
        <v>1</v>
      </c>
      <c r="AV88" s="87">
        <f t="shared" si="5"/>
        <v>9</v>
      </c>
      <c r="AW88" s="87" t="str">
        <f t="shared" si="10"/>
        <v>No Aplica</v>
      </c>
      <c r="AX88" s="87" t="s">
        <v>78</v>
      </c>
      <c r="AY88" s="87"/>
      <c r="AZ88" s="87"/>
      <c r="BA88" s="91" t="s">
        <v>549</v>
      </c>
      <c r="BB88" s="84"/>
      <c r="BC88" s="85"/>
      <c r="BD88" s="85"/>
    </row>
    <row r="89" spans="1:56" s="86" customFormat="1" ht="46.5" customHeight="1">
      <c r="A89" s="87">
        <v>84</v>
      </c>
      <c r="B89" s="79" t="s">
        <v>550</v>
      </c>
      <c r="C89" s="88">
        <v>45358</v>
      </c>
      <c r="D89" s="89">
        <v>0.70833333333333337</v>
      </c>
      <c r="E89" s="87" t="s">
        <v>93</v>
      </c>
      <c r="F89" s="87" t="s">
        <v>102</v>
      </c>
      <c r="G89" s="87" t="s">
        <v>95</v>
      </c>
      <c r="H89" s="90" t="s">
        <v>551</v>
      </c>
      <c r="I89" s="90" t="s">
        <v>118</v>
      </c>
      <c r="J89" s="87" t="s">
        <v>119</v>
      </c>
      <c r="K89" s="87" t="s">
        <v>129</v>
      </c>
      <c r="L89" s="90" t="s">
        <v>407</v>
      </c>
      <c r="M89" s="91">
        <v>3188799909</v>
      </c>
      <c r="N89" s="90" t="s">
        <v>552</v>
      </c>
      <c r="O89" s="90" t="str">
        <f t="shared" si="7"/>
        <v>Distrital</v>
      </c>
      <c r="P89" s="87" t="s">
        <v>73</v>
      </c>
      <c r="Q89" s="87"/>
      <c r="R89" s="87"/>
      <c r="S89" s="87"/>
      <c r="T89" s="87"/>
      <c r="U89" s="87"/>
      <c r="V89" s="90" t="str">
        <f t="shared" si="8"/>
        <v>Distrital</v>
      </c>
      <c r="W89" s="87" t="s">
        <v>73</v>
      </c>
      <c r="X89" s="87"/>
      <c r="Y89" s="87"/>
      <c r="Z89" s="87"/>
      <c r="AA89" s="87"/>
      <c r="AB89" s="87"/>
      <c r="AC89" s="90" t="str">
        <f t="shared" si="9"/>
        <v>Distrital</v>
      </c>
      <c r="AD89" s="87" t="s">
        <v>73</v>
      </c>
      <c r="AE89" s="87"/>
      <c r="AF89" s="87"/>
      <c r="AG89" s="87"/>
      <c r="AH89" s="87"/>
      <c r="AI89" s="87"/>
      <c r="AJ89" s="87"/>
      <c r="AK89" s="87"/>
      <c r="AL89" s="87"/>
      <c r="AM89" s="87"/>
      <c r="AN89" s="90" t="s">
        <v>160</v>
      </c>
      <c r="AO89" s="92" t="s">
        <v>553</v>
      </c>
      <c r="AP89" s="82"/>
      <c r="AQ89" s="87" t="s">
        <v>59</v>
      </c>
      <c r="AR89" s="87" t="s">
        <v>80</v>
      </c>
      <c r="AS89" s="82"/>
      <c r="AT89" s="87">
        <v>96</v>
      </c>
      <c r="AU89" s="87">
        <v>8</v>
      </c>
      <c r="AV89" s="87">
        <f t="shared" si="5"/>
        <v>104</v>
      </c>
      <c r="AW89" s="87" t="str">
        <f t="shared" si="10"/>
        <v>No Aplica</v>
      </c>
      <c r="AX89" s="87" t="s">
        <v>78</v>
      </c>
      <c r="AY89" s="87"/>
      <c r="AZ89" s="87"/>
      <c r="BA89" s="91" t="s">
        <v>554</v>
      </c>
      <c r="BB89" s="84"/>
      <c r="BC89" s="85"/>
      <c r="BD89" s="85"/>
    </row>
    <row r="90" spans="1:56" s="86" customFormat="1" ht="46.5" customHeight="1">
      <c r="A90" s="78">
        <v>85</v>
      </c>
      <c r="B90" s="79" t="s">
        <v>555</v>
      </c>
      <c r="C90" s="88">
        <v>45359</v>
      </c>
      <c r="D90" s="89">
        <v>0.625</v>
      </c>
      <c r="E90" s="87" t="s">
        <v>58</v>
      </c>
      <c r="F90" s="87" t="s">
        <v>61</v>
      </c>
      <c r="G90" s="87" t="s">
        <v>95</v>
      </c>
      <c r="H90" s="90" t="s">
        <v>556</v>
      </c>
      <c r="I90" s="90" t="s">
        <v>172</v>
      </c>
      <c r="J90" s="87" t="s">
        <v>376</v>
      </c>
      <c r="K90" s="87" t="s">
        <v>557</v>
      </c>
      <c r="L90" s="90" t="s">
        <v>72</v>
      </c>
      <c r="M90" s="90" t="s">
        <v>72</v>
      </c>
      <c r="N90" s="90" t="s">
        <v>558</v>
      </c>
      <c r="O90" s="90" t="str">
        <f t="shared" si="7"/>
        <v>Distrital</v>
      </c>
      <c r="P90" s="87" t="s">
        <v>73</v>
      </c>
      <c r="Q90" s="87"/>
      <c r="R90" s="87"/>
      <c r="S90" s="87"/>
      <c r="T90" s="87"/>
      <c r="U90" s="87"/>
      <c r="V90" s="90" t="str">
        <f t="shared" si="8"/>
        <v>Distrital</v>
      </c>
      <c r="W90" s="87" t="s">
        <v>73</v>
      </c>
      <c r="X90" s="87"/>
      <c r="Y90" s="87"/>
      <c r="Z90" s="87"/>
      <c r="AA90" s="87"/>
      <c r="AB90" s="87"/>
      <c r="AC90" s="90" t="str">
        <f t="shared" si="9"/>
        <v>Distrital</v>
      </c>
      <c r="AD90" s="87" t="s">
        <v>73</v>
      </c>
      <c r="AE90" s="87"/>
      <c r="AF90" s="87"/>
      <c r="AG90" s="87"/>
      <c r="AH90" s="87"/>
      <c r="AI90" s="87"/>
      <c r="AJ90" s="87"/>
      <c r="AK90" s="87"/>
      <c r="AL90" s="87"/>
      <c r="AM90" s="87"/>
      <c r="AN90" s="90" t="s">
        <v>160</v>
      </c>
      <c r="AO90" s="92" t="s">
        <v>559</v>
      </c>
      <c r="AP90" s="82"/>
      <c r="AQ90" s="87" t="s">
        <v>60</v>
      </c>
      <c r="AR90" s="87" t="s">
        <v>398</v>
      </c>
      <c r="AS90" s="82"/>
      <c r="AT90" s="87">
        <v>1</v>
      </c>
      <c r="AU90" s="87">
        <v>2</v>
      </c>
      <c r="AV90" s="87">
        <f t="shared" si="5"/>
        <v>3</v>
      </c>
      <c r="AW90" s="87" t="str">
        <f t="shared" si="10"/>
        <v>No Aplica</v>
      </c>
      <c r="AX90" s="87" t="s">
        <v>78</v>
      </c>
      <c r="AY90" s="87"/>
      <c r="AZ90" s="87"/>
      <c r="BA90" s="91" t="s">
        <v>560</v>
      </c>
      <c r="BB90" s="84"/>
      <c r="BC90" s="85"/>
      <c r="BD90" s="85"/>
    </row>
    <row r="91" spans="1:56" s="86" customFormat="1" ht="46.5" customHeight="1">
      <c r="A91" s="87">
        <v>86</v>
      </c>
      <c r="B91" s="79" t="s">
        <v>561</v>
      </c>
      <c r="C91" s="88">
        <v>45360</v>
      </c>
      <c r="D91" s="89">
        <v>0.45833333333333331</v>
      </c>
      <c r="E91" s="87" t="s">
        <v>562</v>
      </c>
      <c r="F91" s="87" t="s">
        <v>61</v>
      </c>
      <c r="G91" s="87" t="s">
        <v>62</v>
      </c>
      <c r="H91" s="90" t="s">
        <v>563</v>
      </c>
      <c r="I91" s="90" t="s">
        <v>172</v>
      </c>
      <c r="J91" s="87" t="s">
        <v>173</v>
      </c>
      <c r="K91" s="87"/>
      <c r="L91" s="90" t="s">
        <v>564</v>
      </c>
      <c r="M91" s="91">
        <v>3178255261</v>
      </c>
      <c r="N91" s="90" t="s">
        <v>565</v>
      </c>
      <c r="O91" s="90" t="str">
        <f t="shared" si="7"/>
        <v>Distrital</v>
      </c>
      <c r="P91" s="87" t="s">
        <v>73</v>
      </c>
      <c r="Q91" s="87"/>
      <c r="R91" s="87"/>
      <c r="S91" s="87"/>
      <c r="T91" s="87"/>
      <c r="U91" s="87"/>
      <c r="V91" s="90" t="str">
        <f t="shared" si="8"/>
        <v>Distrital</v>
      </c>
      <c r="W91" s="87" t="s">
        <v>73</v>
      </c>
      <c r="X91" s="87"/>
      <c r="Y91" s="87"/>
      <c r="Z91" s="87"/>
      <c r="AA91" s="87"/>
      <c r="AB91" s="87"/>
      <c r="AC91" s="90" t="str">
        <f t="shared" si="9"/>
        <v>Distrital</v>
      </c>
      <c r="AD91" s="87" t="s">
        <v>73</v>
      </c>
      <c r="AE91" s="87"/>
      <c r="AF91" s="87"/>
      <c r="AG91" s="87"/>
      <c r="AH91" s="87"/>
      <c r="AI91" s="87"/>
      <c r="AJ91" s="87"/>
      <c r="AK91" s="87"/>
      <c r="AL91" s="87"/>
      <c r="AM91" s="87"/>
      <c r="AN91" s="90" t="s">
        <v>160</v>
      </c>
      <c r="AO91" s="90" t="s">
        <v>566</v>
      </c>
      <c r="AP91" s="82"/>
      <c r="AQ91" s="87" t="s">
        <v>60</v>
      </c>
      <c r="AR91" s="87" t="s">
        <v>398</v>
      </c>
      <c r="AS91" s="82"/>
      <c r="AT91" s="87">
        <v>79</v>
      </c>
      <c r="AU91" s="87">
        <v>8</v>
      </c>
      <c r="AV91" s="87">
        <f t="shared" si="5"/>
        <v>87</v>
      </c>
      <c r="AW91" s="87" t="str">
        <f t="shared" si="10"/>
        <v>Lenguaje de señas, Horarios Acordes</v>
      </c>
      <c r="AX91" s="87" t="s">
        <v>211</v>
      </c>
      <c r="AY91" s="87" t="s">
        <v>213</v>
      </c>
      <c r="AZ91" s="87"/>
      <c r="BA91" s="91" t="s">
        <v>567</v>
      </c>
      <c r="BB91" s="84"/>
      <c r="BC91" s="85"/>
      <c r="BD91" s="85"/>
    </row>
    <row r="92" spans="1:56" s="86" customFormat="1" ht="46.5" customHeight="1">
      <c r="A92" s="78">
        <v>87</v>
      </c>
      <c r="B92" s="79" t="s">
        <v>568</v>
      </c>
      <c r="C92" s="88">
        <v>45360</v>
      </c>
      <c r="D92" s="89">
        <v>0.375</v>
      </c>
      <c r="E92" s="87" t="s">
        <v>58</v>
      </c>
      <c r="F92" s="87" t="s">
        <v>61</v>
      </c>
      <c r="G92" s="87" t="s">
        <v>62</v>
      </c>
      <c r="H92" s="90" t="s">
        <v>392</v>
      </c>
      <c r="I92" s="90" t="s">
        <v>172</v>
      </c>
      <c r="J92" s="87" t="s">
        <v>173</v>
      </c>
      <c r="K92" s="87"/>
      <c r="L92" s="90" t="s">
        <v>569</v>
      </c>
      <c r="M92" s="90">
        <v>3163368485</v>
      </c>
      <c r="N92" s="90" t="s">
        <v>570</v>
      </c>
      <c r="O92" s="90" t="str">
        <f t="shared" si="7"/>
        <v>Suba</v>
      </c>
      <c r="P92" s="87" t="s">
        <v>394</v>
      </c>
      <c r="Q92" s="87"/>
      <c r="R92" s="87"/>
      <c r="S92" s="87"/>
      <c r="T92" s="87"/>
      <c r="U92" s="87"/>
      <c r="V92" s="90" t="str">
        <f t="shared" si="8"/>
        <v>Norte</v>
      </c>
      <c r="W92" s="87" t="s">
        <v>429</v>
      </c>
      <c r="X92" s="87"/>
      <c r="Y92" s="87"/>
      <c r="Z92" s="87"/>
      <c r="AA92" s="87"/>
      <c r="AB92" s="87"/>
      <c r="AC92" s="90" t="str">
        <f t="shared" si="9"/>
        <v>Niza</v>
      </c>
      <c r="AD92" s="87" t="s">
        <v>571</v>
      </c>
      <c r="AE92" s="87"/>
      <c r="AF92" s="87"/>
      <c r="AG92" s="87"/>
      <c r="AH92" s="87"/>
      <c r="AI92" s="87"/>
      <c r="AJ92" s="87"/>
      <c r="AK92" s="87"/>
      <c r="AL92" s="87"/>
      <c r="AM92" s="87"/>
      <c r="AN92" s="90" t="s">
        <v>160</v>
      </c>
      <c r="AO92" s="90" t="s">
        <v>572</v>
      </c>
      <c r="AP92" s="82"/>
      <c r="AQ92" s="87" t="s">
        <v>60</v>
      </c>
      <c r="AR92" s="87" t="s">
        <v>398</v>
      </c>
      <c r="AS92" s="82"/>
      <c r="AT92" s="87">
        <v>57</v>
      </c>
      <c r="AU92" s="87">
        <v>14</v>
      </c>
      <c r="AV92" s="87">
        <f t="shared" si="5"/>
        <v>71</v>
      </c>
      <c r="AW92" s="87" t="str">
        <f t="shared" si="10"/>
        <v>Horarios Acordes</v>
      </c>
      <c r="AX92" s="87" t="s">
        <v>213</v>
      </c>
      <c r="AY92" s="87"/>
      <c r="AZ92" s="87"/>
      <c r="BA92" s="91" t="s">
        <v>573</v>
      </c>
      <c r="BB92" s="84"/>
      <c r="BC92" s="85"/>
      <c r="BD92" s="85"/>
    </row>
    <row r="93" spans="1:56" s="86" customFormat="1" ht="46.5" customHeight="1">
      <c r="A93" s="87">
        <v>88</v>
      </c>
      <c r="B93" s="79" t="s">
        <v>574</v>
      </c>
      <c r="C93" s="88">
        <v>45360</v>
      </c>
      <c r="D93" s="89">
        <v>0.375</v>
      </c>
      <c r="E93" s="87" t="s">
        <v>58</v>
      </c>
      <c r="F93" s="87" t="s">
        <v>61</v>
      </c>
      <c r="G93" s="87" t="s">
        <v>62</v>
      </c>
      <c r="H93" s="90" t="s">
        <v>392</v>
      </c>
      <c r="I93" s="90" t="s">
        <v>172</v>
      </c>
      <c r="J93" s="87" t="s">
        <v>173</v>
      </c>
      <c r="K93" s="87"/>
      <c r="L93" s="90" t="s">
        <v>575</v>
      </c>
      <c r="M93" s="91">
        <v>3102116664</v>
      </c>
      <c r="N93" s="90" t="s">
        <v>576</v>
      </c>
      <c r="O93" s="90" t="str">
        <f t="shared" si="7"/>
        <v>Engativá</v>
      </c>
      <c r="P93" s="87" t="s">
        <v>123</v>
      </c>
      <c r="Q93" s="87"/>
      <c r="R93" s="87"/>
      <c r="S93" s="87"/>
      <c r="T93" s="87"/>
      <c r="U93" s="87"/>
      <c r="V93" s="90" t="str">
        <f t="shared" si="8"/>
        <v>Occidente</v>
      </c>
      <c r="W93" s="87" t="s">
        <v>124</v>
      </c>
      <c r="X93" s="87"/>
      <c r="Y93" s="87"/>
      <c r="Z93" s="87"/>
      <c r="AA93" s="87"/>
      <c r="AB93" s="87"/>
      <c r="AC93" s="90" t="str">
        <f t="shared" si="9"/>
        <v>Tabora</v>
      </c>
      <c r="AD93" s="87" t="s">
        <v>257</v>
      </c>
      <c r="AE93" s="87"/>
      <c r="AF93" s="87"/>
      <c r="AG93" s="87"/>
      <c r="AH93" s="87"/>
      <c r="AI93" s="87"/>
      <c r="AJ93" s="87"/>
      <c r="AK93" s="87"/>
      <c r="AL93" s="87"/>
      <c r="AM93" s="87"/>
      <c r="AN93" s="90" t="s">
        <v>160</v>
      </c>
      <c r="AO93" s="90" t="s">
        <v>577</v>
      </c>
      <c r="AP93" s="82"/>
      <c r="AQ93" s="87" t="s">
        <v>60</v>
      </c>
      <c r="AR93" s="87" t="s">
        <v>398</v>
      </c>
      <c r="AS93" s="82"/>
      <c r="AT93" s="87">
        <v>84</v>
      </c>
      <c r="AU93" s="87">
        <v>17</v>
      </c>
      <c r="AV93" s="87">
        <f t="shared" si="5"/>
        <v>101</v>
      </c>
      <c r="AW93" s="87" t="str">
        <f t="shared" si="10"/>
        <v>Accesibilidad Universal</v>
      </c>
      <c r="AX93" s="87" t="s">
        <v>246</v>
      </c>
      <c r="AY93" s="87"/>
      <c r="AZ93" s="87"/>
      <c r="BA93" s="91" t="s">
        <v>578</v>
      </c>
      <c r="BB93" s="84"/>
      <c r="BC93" s="85"/>
      <c r="BD93" s="85"/>
    </row>
    <row r="94" spans="1:56" s="86" customFormat="1" ht="46.5" customHeight="1">
      <c r="A94" s="78">
        <v>89</v>
      </c>
      <c r="B94" s="79" t="s">
        <v>579</v>
      </c>
      <c r="C94" s="88">
        <v>45361</v>
      </c>
      <c r="D94" s="89">
        <v>0.29166666666666669</v>
      </c>
      <c r="E94" s="87" t="s">
        <v>58</v>
      </c>
      <c r="F94" s="87" t="s">
        <v>61</v>
      </c>
      <c r="G94" s="87" t="s">
        <v>62</v>
      </c>
      <c r="H94" s="90" t="s">
        <v>392</v>
      </c>
      <c r="I94" s="90" t="s">
        <v>193</v>
      </c>
      <c r="J94" s="87" t="s">
        <v>173</v>
      </c>
      <c r="K94" s="87"/>
      <c r="L94" s="91" t="s">
        <v>72</v>
      </c>
      <c r="M94" s="91" t="s">
        <v>72</v>
      </c>
      <c r="N94" s="91" t="s">
        <v>72</v>
      </c>
      <c r="O94" s="90" t="str">
        <f t="shared" si="7"/>
        <v>Chapinero</v>
      </c>
      <c r="P94" s="87" t="s">
        <v>221</v>
      </c>
      <c r="Q94" s="87"/>
      <c r="R94" s="87"/>
      <c r="S94" s="87"/>
      <c r="T94" s="87"/>
      <c r="U94" s="87"/>
      <c r="V94" s="90" t="str">
        <f t="shared" si="8"/>
        <v>Centro Ampliado</v>
      </c>
      <c r="W94" s="87" t="s">
        <v>415</v>
      </c>
      <c r="X94" s="87"/>
      <c r="Y94" s="87"/>
      <c r="Z94" s="87"/>
      <c r="AA94" s="87"/>
      <c r="AB94" s="87"/>
      <c r="AC94" s="90" t="str">
        <f t="shared" si="9"/>
        <v>Chapinero</v>
      </c>
      <c r="AD94" s="87" t="s">
        <v>221</v>
      </c>
      <c r="AE94" s="87"/>
      <c r="AF94" s="87"/>
      <c r="AG94" s="87"/>
      <c r="AH94" s="87"/>
      <c r="AI94" s="87"/>
      <c r="AJ94" s="87"/>
      <c r="AK94" s="87"/>
      <c r="AL94" s="87"/>
      <c r="AM94" s="87"/>
      <c r="AN94" s="90" t="s">
        <v>160</v>
      </c>
      <c r="AO94" s="90" t="s">
        <v>580</v>
      </c>
      <c r="AP94" s="82"/>
      <c r="AQ94" s="87" t="s">
        <v>60</v>
      </c>
      <c r="AR94" s="87" t="s">
        <v>398</v>
      </c>
      <c r="AS94" s="82"/>
      <c r="AT94" s="87">
        <v>65</v>
      </c>
      <c r="AU94" s="87">
        <v>8</v>
      </c>
      <c r="AV94" s="87">
        <f t="shared" si="5"/>
        <v>73</v>
      </c>
      <c r="AW94" s="87" t="str">
        <f t="shared" si="10"/>
        <v>No Aplica</v>
      </c>
      <c r="AX94" s="87" t="s">
        <v>78</v>
      </c>
      <c r="AY94" s="87"/>
      <c r="AZ94" s="87"/>
      <c r="BA94" s="91" t="s">
        <v>578</v>
      </c>
      <c r="BB94" s="84"/>
      <c r="BC94" s="85"/>
      <c r="BD94" s="85"/>
    </row>
    <row r="95" spans="1:56" s="86" customFormat="1" ht="46.5" customHeight="1">
      <c r="A95" s="87">
        <v>90</v>
      </c>
      <c r="B95" s="79" t="s">
        <v>581</v>
      </c>
      <c r="C95" s="88">
        <v>45362</v>
      </c>
      <c r="D95" s="89">
        <v>0.29166666666666669</v>
      </c>
      <c r="E95" s="87" t="s">
        <v>58</v>
      </c>
      <c r="F95" s="87" t="s">
        <v>61</v>
      </c>
      <c r="G95" s="87" t="s">
        <v>62</v>
      </c>
      <c r="H95" s="90" t="s">
        <v>582</v>
      </c>
      <c r="I95" s="90" t="s">
        <v>64</v>
      </c>
      <c r="J95" s="87" t="s">
        <v>70</v>
      </c>
      <c r="K95" s="87" t="s">
        <v>71</v>
      </c>
      <c r="L95" s="90" t="s">
        <v>72</v>
      </c>
      <c r="M95" s="91" t="s">
        <v>72</v>
      </c>
      <c r="N95" s="90" t="s">
        <v>72</v>
      </c>
      <c r="O95" s="90" t="str">
        <f t="shared" si="7"/>
        <v>Distrital</v>
      </c>
      <c r="P95" s="87" t="s">
        <v>73</v>
      </c>
      <c r="Q95" s="87"/>
      <c r="R95" s="87"/>
      <c r="S95" s="87"/>
      <c r="T95" s="87"/>
      <c r="U95" s="87"/>
      <c r="V95" s="90" t="str">
        <f t="shared" si="8"/>
        <v>Distrital</v>
      </c>
      <c r="W95" s="87" t="s">
        <v>73</v>
      </c>
      <c r="X95" s="87"/>
      <c r="Y95" s="87"/>
      <c r="Z95" s="87"/>
      <c r="AA95" s="87"/>
      <c r="AB95" s="87"/>
      <c r="AC95" s="90" t="str">
        <f t="shared" si="9"/>
        <v>Distrital</v>
      </c>
      <c r="AD95" s="87" t="s">
        <v>73</v>
      </c>
      <c r="AE95" s="87"/>
      <c r="AF95" s="87"/>
      <c r="AG95" s="87"/>
      <c r="AH95" s="87"/>
      <c r="AI95" s="87"/>
      <c r="AJ95" s="87"/>
      <c r="AK95" s="87"/>
      <c r="AL95" s="87"/>
      <c r="AM95" s="87"/>
      <c r="AN95" s="90" t="s">
        <v>160</v>
      </c>
      <c r="AO95" s="90" t="s">
        <v>358</v>
      </c>
      <c r="AP95" s="82"/>
      <c r="AQ95" s="87" t="s">
        <v>60</v>
      </c>
      <c r="AR95" s="87" t="s">
        <v>77</v>
      </c>
      <c r="AS95" s="82"/>
      <c r="AT95" s="87">
        <v>0</v>
      </c>
      <c r="AU95" s="87">
        <v>372</v>
      </c>
      <c r="AV95" s="87">
        <f t="shared" si="5"/>
        <v>372</v>
      </c>
      <c r="AW95" s="87" t="str">
        <f t="shared" si="10"/>
        <v>Lenguaje de señas</v>
      </c>
      <c r="AX95" s="87" t="s">
        <v>211</v>
      </c>
      <c r="AY95" s="87"/>
      <c r="AZ95" s="87"/>
      <c r="BA95" s="91" t="s">
        <v>585</v>
      </c>
      <c r="BB95" s="84"/>
      <c r="BC95" s="85"/>
      <c r="BD95" s="85"/>
    </row>
    <row r="96" spans="1:56" s="86" customFormat="1" ht="46.5" customHeight="1">
      <c r="A96" s="78">
        <v>91</v>
      </c>
      <c r="B96" s="79" t="s">
        <v>586</v>
      </c>
      <c r="C96" s="88">
        <v>45362</v>
      </c>
      <c r="D96" s="89">
        <v>0.33333333333333331</v>
      </c>
      <c r="E96" s="87" t="s">
        <v>58</v>
      </c>
      <c r="F96" s="87" t="s">
        <v>61</v>
      </c>
      <c r="G96" s="87" t="s">
        <v>62</v>
      </c>
      <c r="H96" s="90" t="s">
        <v>587</v>
      </c>
      <c r="I96" s="90" t="s">
        <v>64</v>
      </c>
      <c r="J96" s="87" t="s">
        <v>70</v>
      </c>
      <c r="K96" s="87" t="s">
        <v>71</v>
      </c>
      <c r="L96" s="90" t="s">
        <v>588</v>
      </c>
      <c r="M96" s="91">
        <v>3118542974</v>
      </c>
      <c r="N96" s="90" t="s">
        <v>589</v>
      </c>
      <c r="O96" s="90" t="str">
        <f t="shared" si="7"/>
        <v>Distrital</v>
      </c>
      <c r="P96" s="87" t="s">
        <v>73</v>
      </c>
      <c r="Q96" s="87"/>
      <c r="R96" s="87"/>
      <c r="S96" s="87"/>
      <c r="T96" s="87"/>
      <c r="U96" s="87"/>
      <c r="V96" s="90" t="str">
        <f t="shared" si="8"/>
        <v>Distrital</v>
      </c>
      <c r="W96" s="87" t="s">
        <v>73</v>
      </c>
      <c r="X96" s="87"/>
      <c r="Y96" s="87"/>
      <c r="Z96" s="87"/>
      <c r="AA96" s="87"/>
      <c r="AB96" s="87"/>
      <c r="AC96" s="90" t="str">
        <f t="shared" si="9"/>
        <v>Distrital</v>
      </c>
      <c r="AD96" s="87" t="s">
        <v>73</v>
      </c>
      <c r="AE96" s="87"/>
      <c r="AF96" s="87"/>
      <c r="AG96" s="87"/>
      <c r="AH96" s="87"/>
      <c r="AI96" s="87"/>
      <c r="AJ96" s="87"/>
      <c r="AK96" s="87"/>
      <c r="AL96" s="87"/>
      <c r="AM96" s="87"/>
      <c r="AN96" s="90" t="s">
        <v>160</v>
      </c>
      <c r="AO96" s="90" t="s">
        <v>91</v>
      </c>
      <c r="AP96" s="82"/>
      <c r="AQ96" s="87" t="s">
        <v>60</v>
      </c>
      <c r="AR96" s="87" t="s">
        <v>77</v>
      </c>
      <c r="AS96" s="82"/>
      <c r="AT96" s="87">
        <v>3</v>
      </c>
      <c r="AU96" s="87">
        <v>2</v>
      </c>
      <c r="AV96" s="87">
        <f t="shared" si="5"/>
        <v>5</v>
      </c>
      <c r="AW96" s="87" t="str">
        <f t="shared" si="10"/>
        <v>No Aplica</v>
      </c>
      <c r="AX96" s="87" t="s">
        <v>78</v>
      </c>
      <c r="AY96" s="87"/>
      <c r="AZ96" s="87"/>
      <c r="BA96" s="91" t="s">
        <v>590</v>
      </c>
      <c r="BB96" s="84"/>
      <c r="BC96" s="85"/>
      <c r="BD96" s="85"/>
    </row>
    <row r="97" spans="1:56" s="86" customFormat="1" ht="46.5" customHeight="1">
      <c r="A97" s="87">
        <v>92</v>
      </c>
      <c r="B97" s="79" t="s">
        <v>591</v>
      </c>
      <c r="C97" s="88">
        <v>45362</v>
      </c>
      <c r="D97" s="89">
        <v>0.33333333333333331</v>
      </c>
      <c r="E97" s="87" t="s">
        <v>58</v>
      </c>
      <c r="F97" s="87" t="s">
        <v>61</v>
      </c>
      <c r="G97" s="87" t="s">
        <v>62</v>
      </c>
      <c r="H97" s="90" t="s">
        <v>592</v>
      </c>
      <c r="I97" s="90" t="s">
        <v>64</v>
      </c>
      <c r="J97" s="87" t="s">
        <v>70</v>
      </c>
      <c r="K97" s="87" t="s">
        <v>71</v>
      </c>
      <c r="L97" s="90" t="s">
        <v>593</v>
      </c>
      <c r="M97" s="91">
        <v>3159261429</v>
      </c>
      <c r="N97" s="90" t="s">
        <v>594</v>
      </c>
      <c r="O97" s="90" t="str">
        <f t="shared" si="7"/>
        <v>Distrital</v>
      </c>
      <c r="P97" s="87" t="s">
        <v>73</v>
      </c>
      <c r="Q97" s="87"/>
      <c r="R97" s="87"/>
      <c r="S97" s="87"/>
      <c r="T97" s="87"/>
      <c r="U97" s="87"/>
      <c r="V97" s="90" t="str">
        <f t="shared" si="8"/>
        <v>Distrital</v>
      </c>
      <c r="W97" s="87" t="s">
        <v>73</v>
      </c>
      <c r="X97" s="87"/>
      <c r="Y97" s="87"/>
      <c r="Z97" s="87"/>
      <c r="AA97" s="87"/>
      <c r="AB97" s="87"/>
      <c r="AC97" s="90" t="str">
        <f t="shared" si="9"/>
        <v>Distrital</v>
      </c>
      <c r="AD97" s="87" t="s">
        <v>73</v>
      </c>
      <c r="AE97" s="87"/>
      <c r="AF97" s="87"/>
      <c r="AG97" s="87"/>
      <c r="AH97" s="87"/>
      <c r="AI97" s="87"/>
      <c r="AJ97" s="87"/>
      <c r="AK97" s="87"/>
      <c r="AL97" s="87"/>
      <c r="AM97" s="87"/>
      <c r="AN97" s="90" t="s">
        <v>160</v>
      </c>
      <c r="AO97" s="90" t="s">
        <v>595</v>
      </c>
      <c r="AP97" s="82"/>
      <c r="AQ97" s="87" t="s">
        <v>60</v>
      </c>
      <c r="AR97" s="87" t="s">
        <v>77</v>
      </c>
      <c r="AS97" s="82"/>
      <c r="AT97" s="87">
        <v>8</v>
      </c>
      <c r="AU97" s="87">
        <v>4</v>
      </c>
      <c r="AV97" s="87">
        <f t="shared" si="5"/>
        <v>12</v>
      </c>
      <c r="AW97" s="87" t="str">
        <f t="shared" si="10"/>
        <v>No Aplica</v>
      </c>
      <c r="AX97" s="87" t="s">
        <v>78</v>
      </c>
      <c r="AY97" s="87"/>
      <c r="AZ97" s="87"/>
      <c r="BA97" s="91" t="s">
        <v>596</v>
      </c>
      <c r="BB97" s="84"/>
      <c r="BC97" s="85"/>
      <c r="BD97" s="85"/>
    </row>
    <row r="98" spans="1:56" s="86" customFormat="1" ht="46.5" customHeight="1">
      <c r="A98" s="78">
        <v>93</v>
      </c>
      <c r="B98" s="79" t="s">
        <v>597</v>
      </c>
      <c r="C98" s="88">
        <v>45362</v>
      </c>
      <c r="D98" s="89">
        <v>0.375</v>
      </c>
      <c r="E98" s="87" t="s">
        <v>93</v>
      </c>
      <c r="F98" s="87" t="s">
        <v>321</v>
      </c>
      <c r="G98" s="87" t="s">
        <v>62</v>
      </c>
      <c r="H98" s="90" t="s">
        <v>598</v>
      </c>
      <c r="I98" s="90" t="s">
        <v>64</v>
      </c>
      <c r="J98" s="87" t="s">
        <v>70</v>
      </c>
      <c r="K98" s="87" t="s">
        <v>324</v>
      </c>
      <c r="L98" s="90" t="s">
        <v>599</v>
      </c>
      <c r="M98" s="90" t="s">
        <v>72</v>
      </c>
      <c r="N98" s="90" t="s">
        <v>72</v>
      </c>
      <c r="O98" s="90" t="str">
        <f t="shared" si="7"/>
        <v>Rafael Uribe Uribe</v>
      </c>
      <c r="P98" s="87" t="s">
        <v>414</v>
      </c>
      <c r="Q98" s="87"/>
      <c r="R98" s="87"/>
      <c r="S98" s="87"/>
      <c r="T98" s="87"/>
      <c r="U98" s="87"/>
      <c r="V98" s="90" t="str">
        <f t="shared" si="8"/>
        <v>Centro Ampliado, Suroriente</v>
      </c>
      <c r="W98" s="87" t="s">
        <v>415</v>
      </c>
      <c r="X98" s="87" t="s">
        <v>108</v>
      </c>
      <c r="Y98" s="87"/>
      <c r="Z98" s="87"/>
      <c r="AA98" s="87"/>
      <c r="AB98" s="87"/>
      <c r="AC98" s="90" t="str">
        <f t="shared" si="9"/>
        <v>Rafael Uribe, Restrepo, San Cristobal</v>
      </c>
      <c r="AD98" s="87" t="s">
        <v>467</v>
      </c>
      <c r="AE98" s="87" t="s">
        <v>416</v>
      </c>
      <c r="AF98" s="87" t="s">
        <v>371</v>
      </c>
      <c r="AG98" s="87"/>
      <c r="AH98" s="87"/>
      <c r="AI98" s="87"/>
      <c r="AJ98" s="87"/>
      <c r="AK98" s="87"/>
      <c r="AL98" s="87"/>
      <c r="AM98" s="87"/>
      <c r="AN98" s="90" t="s">
        <v>160</v>
      </c>
      <c r="AO98" s="94" t="s">
        <v>600</v>
      </c>
      <c r="AP98" s="82"/>
      <c r="AQ98" s="87" t="s">
        <v>59</v>
      </c>
      <c r="AR98" s="87" t="s">
        <v>80</v>
      </c>
      <c r="AS98" s="82"/>
      <c r="AT98" s="87">
        <v>4</v>
      </c>
      <c r="AU98" s="87">
        <v>1</v>
      </c>
      <c r="AV98" s="87">
        <f t="shared" si="5"/>
        <v>5</v>
      </c>
      <c r="AW98" s="87" t="str">
        <f t="shared" si="10"/>
        <v>No Aplica</v>
      </c>
      <c r="AX98" s="87" t="s">
        <v>78</v>
      </c>
      <c r="AY98" s="87"/>
      <c r="AZ98" s="87"/>
      <c r="BA98" s="91" t="s">
        <v>601</v>
      </c>
      <c r="BB98" s="84"/>
      <c r="BC98" s="85"/>
      <c r="BD98" s="85"/>
    </row>
    <row r="99" spans="1:56" s="86" customFormat="1" ht="46.5" customHeight="1">
      <c r="A99" s="87">
        <v>94</v>
      </c>
      <c r="B99" s="79" t="s">
        <v>602</v>
      </c>
      <c r="C99" s="88">
        <v>45362</v>
      </c>
      <c r="D99" s="89">
        <v>0.58333333333333337</v>
      </c>
      <c r="E99" s="87" t="s">
        <v>58</v>
      </c>
      <c r="F99" s="87" t="s">
        <v>61</v>
      </c>
      <c r="G99" s="87" t="s">
        <v>62</v>
      </c>
      <c r="H99" s="90" t="s">
        <v>603</v>
      </c>
      <c r="I99" s="90" t="s">
        <v>64</v>
      </c>
      <c r="J99" s="87" t="s">
        <v>70</v>
      </c>
      <c r="K99" s="87" t="s">
        <v>97</v>
      </c>
      <c r="L99" s="90" t="s">
        <v>604</v>
      </c>
      <c r="M99" s="91">
        <v>3132098911</v>
      </c>
      <c r="N99" s="90" t="s">
        <v>72</v>
      </c>
      <c r="O99" s="90" t="str">
        <f t="shared" si="7"/>
        <v>Distrital</v>
      </c>
      <c r="P99" s="87" t="s">
        <v>73</v>
      </c>
      <c r="Q99" s="87"/>
      <c r="R99" s="87"/>
      <c r="S99" s="87"/>
      <c r="T99" s="87"/>
      <c r="U99" s="87"/>
      <c r="V99" s="90" t="str">
        <f t="shared" si="8"/>
        <v>Distrital</v>
      </c>
      <c r="W99" s="87" t="s">
        <v>73</v>
      </c>
      <c r="X99" s="87"/>
      <c r="Y99" s="87"/>
      <c r="Z99" s="87"/>
      <c r="AA99" s="87"/>
      <c r="AB99" s="87"/>
      <c r="AC99" s="90" t="str">
        <f t="shared" si="9"/>
        <v>Distrital</v>
      </c>
      <c r="AD99" s="87" t="s">
        <v>73</v>
      </c>
      <c r="AE99" s="87"/>
      <c r="AF99" s="87"/>
      <c r="AG99" s="87"/>
      <c r="AH99" s="87"/>
      <c r="AI99" s="87"/>
      <c r="AJ99" s="87"/>
      <c r="AK99" s="87"/>
      <c r="AL99" s="87"/>
      <c r="AM99" s="87"/>
      <c r="AN99" s="90" t="s">
        <v>160</v>
      </c>
      <c r="AO99" s="90" t="s">
        <v>605</v>
      </c>
      <c r="AP99" s="82"/>
      <c r="AQ99" s="87" t="s">
        <v>60</v>
      </c>
      <c r="AR99" s="87" t="s">
        <v>77</v>
      </c>
      <c r="AS99" s="82"/>
      <c r="AT99" s="87">
        <v>2</v>
      </c>
      <c r="AU99" s="87">
        <v>2</v>
      </c>
      <c r="AV99" s="87">
        <f t="shared" si="5"/>
        <v>4</v>
      </c>
      <c r="AW99" s="87" t="str">
        <f t="shared" si="10"/>
        <v>No Aplica</v>
      </c>
      <c r="AX99" s="87" t="s">
        <v>78</v>
      </c>
      <c r="AY99" s="87"/>
      <c r="AZ99" s="87"/>
      <c r="BA99" s="91" t="s">
        <v>606</v>
      </c>
      <c r="BB99" s="84"/>
      <c r="BC99" s="85"/>
      <c r="BD99" s="85"/>
    </row>
    <row r="100" spans="1:56" s="86" customFormat="1" ht="46.5" customHeight="1">
      <c r="A100" s="78">
        <v>95</v>
      </c>
      <c r="B100" s="79" t="s">
        <v>607</v>
      </c>
      <c r="C100" s="88">
        <v>45362</v>
      </c>
      <c r="D100" s="89">
        <v>0.60416666666666663</v>
      </c>
      <c r="E100" s="87" t="s">
        <v>58</v>
      </c>
      <c r="F100" s="87" t="s">
        <v>61</v>
      </c>
      <c r="G100" s="87" t="s">
        <v>62</v>
      </c>
      <c r="H100" s="90" t="s">
        <v>608</v>
      </c>
      <c r="I100" s="90" t="s">
        <v>188</v>
      </c>
      <c r="J100" s="87" t="s">
        <v>119</v>
      </c>
      <c r="K100" s="87" t="s">
        <v>610</v>
      </c>
      <c r="L100" s="90" t="s">
        <v>72</v>
      </c>
      <c r="M100" s="90" t="s">
        <v>72</v>
      </c>
      <c r="N100" s="90" t="s">
        <v>72</v>
      </c>
      <c r="O100" s="90" t="str">
        <f t="shared" si="7"/>
        <v>Distrital</v>
      </c>
      <c r="P100" s="87" t="s">
        <v>73</v>
      </c>
      <c r="Q100" s="87"/>
      <c r="R100" s="87"/>
      <c r="S100" s="87"/>
      <c r="T100" s="87"/>
      <c r="U100" s="87"/>
      <c r="V100" s="90" t="str">
        <f t="shared" si="8"/>
        <v>Distrital</v>
      </c>
      <c r="W100" s="87" t="s">
        <v>73</v>
      </c>
      <c r="X100" s="87"/>
      <c r="Y100" s="87"/>
      <c r="Z100" s="87"/>
      <c r="AA100" s="87"/>
      <c r="AB100" s="87"/>
      <c r="AC100" s="90" t="str">
        <f t="shared" si="9"/>
        <v>Distrital</v>
      </c>
      <c r="AD100" s="87" t="s">
        <v>73</v>
      </c>
      <c r="AE100" s="87"/>
      <c r="AF100" s="87"/>
      <c r="AG100" s="87"/>
      <c r="AH100" s="87"/>
      <c r="AI100" s="87"/>
      <c r="AJ100" s="87"/>
      <c r="AK100" s="87"/>
      <c r="AL100" s="87"/>
      <c r="AM100" s="87"/>
      <c r="AN100" s="90" t="s">
        <v>160</v>
      </c>
      <c r="AO100" s="90" t="s">
        <v>611</v>
      </c>
      <c r="AP100" s="82"/>
      <c r="AQ100" s="87" t="s">
        <v>60</v>
      </c>
      <c r="AR100" s="87" t="s">
        <v>398</v>
      </c>
      <c r="AS100" s="82"/>
      <c r="AT100" s="87">
        <v>14</v>
      </c>
      <c r="AU100" s="87">
        <v>4</v>
      </c>
      <c r="AV100" s="87">
        <f t="shared" si="5"/>
        <v>18</v>
      </c>
      <c r="AW100" s="87" t="str">
        <f t="shared" si="10"/>
        <v>No Aplica</v>
      </c>
      <c r="AX100" s="87" t="s">
        <v>78</v>
      </c>
      <c r="AY100" s="87"/>
      <c r="AZ100" s="87"/>
      <c r="BA100" s="91" t="s">
        <v>612</v>
      </c>
      <c r="BB100" s="84"/>
      <c r="BC100" s="85"/>
      <c r="BD100" s="85"/>
    </row>
    <row r="101" spans="1:56" s="86" customFormat="1" ht="46.5" customHeight="1">
      <c r="A101" s="87">
        <v>96</v>
      </c>
      <c r="B101" s="79" t="s">
        <v>613</v>
      </c>
      <c r="C101" s="88">
        <v>45362</v>
      </c>
      <c r="D101" s="89">
        <v>0.58333333333333337</v>
      </c>
      <c r="E101" s="87" t="s">
        <v>58</v>
      </c>
      <c r="F101" s="87" t="s">
        <v>61</v>
      </c>
      <c r="G101" s="87" t="s">
        <v>62</v>
      </c>
      <c r="H101" s="90" t="s">
        <v>614</v>
      </c>
      <c r="I101" s="90" t="s">
        <v>64</v>
      </c>
      <c r="J101" s="87" t="s">
        <v>70</v>
      </c>
      <c r="K101" s="87"/>
      <c r="L101" s="90" t="s">
        <v>72</v>
      </c>
      <c r="M101" s="90" t="s">
        <v>72</v>
      </c>
      <c r="N101" s="90" t="s">
        <v>72</v>
      </c>
      <c r="O101" s="90" t="str">
        <f t="shared" si="7"/>
        <v>Distrital</v>
      </c>
      <c r="P101" s="87" t="s">
        <v>73</v>
      </c>
      <c r="Q101" s="87"/>
      <c r="R101" s="87"/>
      <c r="S101" s="87"/>
      <c r="T101" s="87"/>
      <c r="U101" s="87"/>
      <c r="V101" s="90" t="str">
        <f t="shared" si="8"/>
        <v>Distrital</v>
      </c>
      <c r="W101" s="87" t="s">
        <v>73</v>
      </c>
      <c r="X101" s="87"/>
      <c r="Y101" s="87"/>
      <c r="Z101" s="87"/>
      <c r="AA101" s="87"/>
      <c r="AB101" s="87"/>
      <c r="AC101" s="90" t="str">
        <f t="shared" si="9"/>
        <v>Distrital</v>
      </c>
      <c r="AD101" s="87" t="s">
        <v>73</v>
      </c>
      <c r="AE101" s="87"/>
      <c r="AF101" s="87"/>
      <c r="AG101" s="87"/>
      <c r="AH101" s="87"/>
      <c r="AI101" s="87"/>
      <c r="AJ101" s="87"/>
      <c r="AK101" s="87"/>
      <c r="AL101" s="87"/>
      <c r="AM101" s="87"/>
      <c r="AN101" s="90" t="s">
        <v>160</v>
      </c>
      <c r="AO101" s="90" t="s">
        <v>615</v>
      </c>
      <c r="AP101" s="82"/>
      <c r="AQ101" s="87" t="s">
        <v>60</v>
      </c>
      <c r="AR101" s="87" t="s">
        <v>77</v>
      </c>
      <c r="AS101" s="82"/>
      <c r="AT101" s="87">
        <v>11</v>
      </c>
      <c r="AU101" s="87">
        <v>3</v>
      </c>
      <c r="AV101" s="87">
        <f t="shared" si="5"/>
        <v>14</v>
      </c>
      <c r="AW101" s="87" t="str">
        <f t="shared" si="10"/>
        <v>No Aplica</v>
      </c>
      <c r="AX101" s="87" t="s">
        <v>78</v>
      </c>
      <c r="AY101" s="87"/>
      <c r="AZ101" s="87"/>
      <c r="BA101" s="91" t="s">
        <v>616</v>
      </c>
      <c r="BB101" s="84"/>
      <c r="BC101" s="85"/>
      <c r="BD101" s="85"/>
    </row>
    <row r="102" spans="1:56" s="86" customFormat="1" ht="46.5" customHeight="1">
      <c r="A102" s="78">
        <v>97</v>
      </c>
      <c r="B102" s="79" t="s">
        <v>617</v>
      </c>
      <c r="C102" s="88">
        <v>45362</v>
      </c>
      <c r="D102" s="89">
        <v>0.625</v>
      </c>
      <c r="E102" s="87" t="s">
        <v>58</v>
      </c>
      <c r="F102" s="87" t="s">
        <v>61</v>
      </c>
      <c r="G102" s="87" t="s">
        <v>62</v>
      </c>
      <c r="H102" s="90" t="s">
        <v>392</v>
      </c>
      <c r="I102" s="90" t="s">
        <v>172</v>
      </c>
      <c r="J102" s="87" t="s">
        <v>173</v>
      </c>
      <c r="K102" s="87"/>
      <c r="L102" s="90" t="s">
        <v>72</v>
      </c>
      <c r="M102" s="90" t="s">
        <v>72</v>
      </c>
      <c r="N102" s="90" t="s">
        <v>72</v>
      </c>
      <c r="O102" s="90" t="str">
        <f t="shared" si="7"/>
        <v>Tunjuelito</v>
      </c>
      <c r="P102" s="87" t="s">
        <v>618</v>
      </c>
      <c r="Q102" s="87"/>
      <c r="R102" s="87"/>
      <c r="S102" s="87"/>
      <c r="T102" s="87"/>
      <c r="U102" s="87"/>
      <c r="V102" s="90" t="str">
        <f t="shared" si="8"/>
        <v>Suroriente</v>
      </c>
      <c r="W102" s="87" t="s">
        <v>108</v>
      </c>
      <c r="X102" s="87"/>
      <c r="Y102" s="87"/>
      <c r="Z102" s="87"/>
      <c r="AA102" s="87"/>
      <c r="AB102" s="87"/>
      <c r="AC102" s="90" t="str">
        <f t="shared" si="9"/>
        <v>Tunjuelito</v>
      </c>
      <c r="AD102" s="87" t="s">
        <v>618</v>
      </c>
      <c r="AE102" s="87"/>
      <c r="AF102" s="87"/>
      <c r="AG102" s="87"/>
      <c r="AH102" s="87"/>
      <c r="AI102" s="87"/>
      <c r="AJ102" s="87"/>
      <c r="AK102" s="87"/>
      <c r="AL102" s="87"/>
      <c r="AM102" s="87"/>
      <c r="AN102" s="90" t="s">
        <v>160</v>
      </c>
      <c r="AO102" s="90" t="s">
        <v>619</v>
      </c>
      <c r="AP102" s="82"/>
      <c r="AQ102" s="87" t="s">
        <v>60</v>
      </c>
      <c r="AR102" s="87" t="s">
        <v>398</v>
      </c>
      <c r="AS102" s="82"/>
      <c r="AT102" s="87">
        <v>80</v>
      </c>
      <c r="AU102" s="87">
        <v>13</v>
      </c>
      <c r="AV102" s="87">
        <f t="shared" si="5"/>
        <v>93</v>
      </c>
      <c r="AW102" s="87" t="str">
        <f t="shared" ref="AW102:AW133" si="11">_xlfn.TEXTJOIN(", ",TRUE,$AX102:$AZ102)</f>
        <v>Lenguaje de señas, Accesibilidad Universal, Horarios Acordes</v>
      </c>
      <c r="AX102" s="87" t="s">
        <v>211</v>
      </c>
      <c r="AY102" s="87" t="s">
        <v>246</v>
      </c>
      <c r="AZ102" s="87" t="s">
        <v>213</v>
      </c>
      <c r="BA102" s="91" t="s">
        <v>620</v>
      </c>
      <c r="BB102" s="84"/>
      <c r="BC102" s="85"/>
      <c r="BD102" s="85"/>
    </row>
    <row r="103" spans="1:56" s="86" customFormat="1" ht="46.5" customHeight="1">
      <c r="A103" s="87">
        <v>98</v>
      </c>
      <c r="B103" s="79" t="s">
        <v>550</v>
      </c>
      <c r="C103" s="88">
        <v>45362</v>
      </c>
      <c r="D103" s="89">
        <v>0.70833333333333337</v>
      </c>
      <c r="E103" s="87" t="s">
        <v>93</v>
      </c>
      <c r="F103" s="87" t="s">
        <v>102</v>
      </c>
      <c r="G103" s="87" t="s">
        <v>95</v>
      </c>
      <c r="H103" s="90" t="s">
        <v>621</v>
      </c>
      <c r="I103" s="90" t="s">
        <v>118</v>
      </c>
      <c r="J103" s="87" t="s">
        <v>119</v>
      </c>
      <c r="K103" s="87" t="s">
        <v>129</v>
      </c>
      <c r="L103" s="90" t="s">
        <v>407</v>
      </c>
      <c r="M103" s="91">
        <v>3188799909</v>
      </c>
      <c r="N103" s="90" t="s">
        <v>552</v>
      </c>
      <c r="O103" s="90" t="str">
        <f t="shared" si="7"/>
        <v>Distrital</v>
      </c>
      <c r="P103" s="87" t="s">
        <v>73</v>
      </c>
      <c r="Q103" s="87"/>
      <c r="R103" s="87"/>
      <c r="S103" s="87"/>
      <c r="T103" s="87"/>
      <c r="U103" s="87"/>
      <c r="V103" s="90" t="str">
        <f t="shared" si="8"/>
        <v>Distrital</v>
      </c>
      <c r="W103" s="87" t="s">
        <v>73</v>
      </c>
      <c r="X103" s="87"/>
      <c r="Y103" s="87"/>
      <c r="Z103" s="87"/>
      <c r="AA103" s="87"/>
      <c r="AB103" s="87"/>
      <c r="AC103" s="90" t="str">
        <f t="shared" si="9"/>
        <v>Distrital</v>
      </c>
      <c r="AD103" s="87" t="s">
        <v>73</v>
      </c>
      <c r="AE103" s="87"/>
      <c r="AF103" s="87"/>
      <c r="AG103" s="87"/>
      <c r="AH103" s="87"/>
      <c r="AI103" s="87"/>
      <c r="AJ103" s="87"/>
      <c r="AK103" s="87"/>
      <c r="AL103" s="87"/>
      <c r="AM103" s="87"/>
      <c r="AN103" s="90" t="s">
        <v>160</v>
      </c>
      <c r="AO103" s="92" t="s">
        <v>622</v>
      </c>
      <c r="AP103" s="82"/>
      <c r="AQ103" s="87" t="s">
        <v>59</v>
      </c>
      <c r="AR103" s="87" t="s">
        <v>80</v>
      </c>
      <c r="AS103" s="82"/>
      <c r="AT103" s="87">
        <v>88</v>
      </c>
      <c r="AU103" s="87">
        <v>4</v>
      </c>
      <c r="AV103" s="87">
        <f t="shared" si="5"/>
        <v>92</v>
      </c>
      <c r="AW103" s="87" t="str">
        <f t="shared" si="11"/>
        <v>No Aplica</v>
      </c>
      <c r="AX103" s="87" t="s">
        <v>78</v>
      </c>
      <c r="AY103" s="87"/>
      <c r="AZ103" s="87"/>
      <c r="BA103" s="91" t="s">
        <v>623</v>
      </c>
      <c r="BB103" s="84"/>
      <c r="BC103" s="85"/>
      <c r="BD103" s="85"/>
    </row>
    <row r="104" spans="1:56" s="86" customFormat="1" ht="46.5" customHeight="1">
      <c r="A104" s="78">
        <v>99</v>
      </c>
      <c r="B104" s="79" t="s">
        <v>624</v>
      </c>
      <c r="C104" s="88">
        <v>45363</v>
      </c>
      <c r="D104" s="89">
        <v>0.33333333333333331</v>
      </c>
      <c r="E104" s="87" t="s">
        <v>58</v>
      </c>
      <c r="F104" s="87" t="s">
        <v>61</v>
      </c>
      <c r="G104" s="87" t="s">
        <v>95</v>
      </c>
      <c r="H104" s="90" t="s">
        <v>625</v>
      </c>
      <c r="I104" s="90" t="s">
        <v>64</v>
      </c>
      <c r="J104" s="87" t="s">
        <v>70</v>
      </c>
      <c r="K104" s="87" t="s">
        <v>71</v>
      </c>
      <c r="L104" s="90" t="s">
        <v>626</v>
      </c>
      <c r="M104" s="91" t="s">
        <v>627</v>
      </c>
      <c r="N104" s="90" t="s">
        <v>628</v>
      </c>
      <c r="O104" s="90" t="str">
        <f t="shared" si="7"/>
        <v>Distrital</v>
      </c>
      <c r="P104" s="87" t="s">
        <v>73</v>
      </c>
      <c r="Q104" s="87"/>
      <c r="R104" s="87"/>
      <c r="S104" s="87"/>
      <c r="T104" s="87"/>
      <c r="U104" s="87"/>
      <c r="V104" s="90" t="str">
        <f t="shared" si="8"/>
        <v>Distrital</v>
      </c>
      <c r="W104" s="87" t="s">
        <v>73</v>
      </c>
      <c r="X104" s="87"/>
      <c r="Y104" s="87"/>
      <c r="Z104" s="87"/>
      <c r="AA104" s="87"/>
      <c r="AB104" s="87"/>
      <c r="AC104" s="90" t="str">
        <f t="shared" si="9"/>
        <v>Distrital</v>
      </c>
      <c r="AD104" s="87" t="s">
        <v>73</v>
      </c>
      <c r="AE104" s="87"/>
      <c r="AF104" s="87"/>
      <c r="AG104" s="87"/>
      <c r="AH104" s="87"/>
      <c r="AI104" s="87"/>
      <c r="AJ104" s="87"/>
      <c r="AK104" s="87"/>
      <c r="AL104" s="87"/>
      <c r="AM104" s="87"/>
      <c r="AN104" s="90" t="s">
        <v>160</v>
      </c>
      <c r="AO104" s="92" t="s">
        <v>629</v>
      </c>
      <c r="AP104" s="82"/>
      <c r="AQ104" s="87" t="s">
        <v>60</v>
      </c>
      <c r="AR104" s="87" t="s">
        <v>77</v>
      </c>
      <c r="AS104" s="82"/>
      <c r="AT104" s="87">
        <v>8</v>
      </c>
      <c r="AU104" s="87">
        <v>2</v>
      </c>
      <c r="AV104" s="87">
        <f t="shared" si="5"/>
        <v>10</v>
      </c>
      <c r="AW104" s="87" t="str">
        <f t="shared" si="11"/>
        <v>No Aplica</v>
      </c>
      <c r="AX104" s="87" t="s">
        <v>78</v>
      </c>
      <c r="AY104" s="87"/>
      <c r="AZ104" s="87"/>
      <c r="BA104" s="91" t="s">
        <v>630</v>
      </c>
      <c r="BB104" s="84"/>
      <c r="BC104" s="85"/>
      <c r="BD104" s="85"/>
    </row>
    <row r="105" spans="1:56" s="86" customFormat="1" ht="46.5" customHeight="1">
      <c r="A105" s="87">
        <v>100</v>
      </c>
      <c r="B105" s="79" t="s">
        <v>631</v>
      </c>
      <c r="C105" s="88">
        <v>45363</v>
      </c>
      <c r="D105" s="89">
        <v>0.35416666666666669</v>
      </c>
      <c r="E105" s="87" t="s">
        <v>93</v>
      </c>
      <c r="F105" s="87" t="s">
        <v>321</v>
      </c>
      <c r="G105" s="87" t="s">
        <v>62</v>
      </c>
      <c r="H105" s="90" t="s">
        <v>632</v>
      </c>
      <c r="I105" s="90" t="s">
        <v>64</v>
      </c>
      <c r="J105" s="87" t="s">
        <v>70</v>
      </c>
      <c r="K105" s="87" t="s">
        <v>324</v>
      </c>
      <c r="L105" s="90" t="s">
        <v>633</v>
      </c>
      <c r="M105" s="91">
        <v>3005698632</v>
      </c>
      <c r="N105" s="90" t="s">
        <v>634</v>
      </c>
      <c r="O105" s="90" t="str">
        <f t="shared" si="7"/>
        <v>Engativá</v>
      </c>
      <c r="P105" s="87" t="s">
        <v>123</v>
      </c>
      <c r="Q105" s="87"/>
      <c r="R105" s="87"/>
      <c r="S105" s="87"/>
      <c r="T105" s="87"/>
      <c r="U105" s="87"/>
      <c r="V105" s="90" t="str">
        <f t="shared" si="8"/>
        <v>Occidente</v>
      </c>
      <c r="W105" s="87" t="s">
        <v>124</v>
      </c>
      <c r="X105" s="87"/>
      <c r="Y105" s="87"/>
      <c r="Z105" s="87"/>
      <c r="AA105" s="87"/>
      <c r="AB105" s="87"/>
      <c r="AC105" s="90" t="str">
        <f t="shared" si="9"/>
        <v>Engativá, Tabora, Salitre</v>
      </c>
      <c r="AD105" s="87" t="s">
        <v>123</v>
      </c>
      <c r="AE105" s="87" t="s">
        <v>257</v>
      </c>
      <c r="AF105" s="87" t="s">
        <v>258</v>
      </c>
      <c r="AG105" s="87"/>
      <c r="AH105" s="87"/>
      <c r="AI105" s="87"/>
      <c r="AJ105" s="87"/>
      <c r="AK105" s="87"/>
      <c r="AL105" s="87"/>
      <c r="AM105" s="87"/>
      <c r="AN105" s="90" t="s">
        <v>160</v>
      </c>
      <c r="AO105" s="94" t="s">
        <v>635</v>
      </c>
      <c r="AP105" s="82"/>
      <c r="AQ105" s="87" t="s">
        <v>59</v>
      </c>
      <c r="AR105" s="87" t="s">
        <v>80</v>
      </c>
      <c r="AS105" s="82"/>
      <c r="AT105" s="87">
        <v>20</v>
      </c>
      <c r="AU105" s="87">
        <v>1</v>
      </c>
      <c r="AV105" s="87">
        <f t="shared" si="5"/>
        <v>21</v>
      </c>
      <c r="AW105" s="87" t="str">
        <f t="shared" si="11"/>
        <v>No Aplica</v>
      </c>
      <c r="AX105" s="87" t="s">
        <v>78</v>
      </c>
      <c r="AY105" s="87"/>
      <c r="AZ105" s="87"/>
      <c r="BA105" s="91" t="s">
        <v>636</v>
      </c>
      <c r="BB105" s="84"/>
      <c r="BC105" s="85"/>
      <c r="BD105" s="85"/>
    </row>
    <row r="106" spans="1:56" s="86" customFormat="1" ht="46.5" customHeight="1">
      <c r="A106" s="78">
        <v>101</v>
      </c>
      <c r="B106" s="79" t="s">
        <v>637</v>
      </c>
      <c r="C106" s="88">
        <v>45363</v>
      </c>
      <c r="D106" s="89">
        <v>0.64583333333333337</v>
      </c>
      <c r="E106" s="87" t="s">
        <v>58</v>
      </c>
      <c r="F106" s="87" t="s">
        <v>61</v>
      </c>
      <c r="G106" s="87" t="s">
        <v>62</v>
      </c>
      <c r="H106" s="90" t="s">
        <v>392</v>
      </c>
      <c r="I106" s="90" t="s">
        <v>172</v>
      </c>
      <c r="J106" s="87" t="s">
        <v>173</v>
      </c>
      <c r="K106" s="87"/>
      <c r="L106" s="90" t="s">
        <v>72</v>
      </c>
      <c r="M106" s="90" t="s">
        <v>72</v>
      </c>
      <c r="N106" s="90" t="s">
        <v>72</v>
      </c>
      <c r="O106" s="90" t="str">
        <f t="shared" si="7"/>
        <v>Kennedy</v>
      </c>
      <c r="P106" s="87" t="s">
        <v>473</v>
      </c>
      <c r="Q106" s="87"/>
      <c r="R106" s="87"/>
      <c r="S106" s="87"/>
      <c r="T106" s="87"/>
      <c r="U106" s="87"/>
      <c r="V106" s="90" t="str">
        <f t="shared" si="8"/>
        <v>Suroccidente</v>
      </c>
      <c r="W106" s="87" t="s">
        <v>474</v>
      </c>
      <c r="X106" s="87"/>
      <c r="Y106" s="87"/>
      <c r="Z106" s="87"/>
      <c r="AA106" s="87"/>
      <c r="AB106" s="87"/>
      <c r="AC106" s="90" t="str">
        <f t="shared" si="9"/>
        <v>Patio Bonito</v>
      </c>
      <c r="AD106" s="87" t="s">
        <v>639</v>
      </c>
      <c r="AE106" s="87"/>
      <c r="AF106" s="87"/>
      <c r="AG106" s="87"/>
      <c r="AH106" s="87"/>
      <c r="AI106" s="87"/>
      <c r="AJ106" s="87"/>
      <c r="AK106" s="87"/>
      <c r="AL106" s="87"/>
      <c r="AM106" s="87"/>
      <c r="AN106" s="90" t="s">
        <v>160</v>
      </c>
      <c r="AO106" s="90" t="s">
        <v>640</v>
      </c>
      <c r="AP106" s="82"/>
      <c r="AQ106" s="87" t="s">
        <v>60</v>
      </c>
      <c r="AR106" s="87" t="s">
        <v>398</v>
      </c>
      <c r="AS106" s="82"/>
      <c r="AT106" s="87">
        <v>57</v>
      </c>
      <c r="AU106" s="87">
        <v>19</v>
      </c>
      <c r="AV106" s="87">
        <f t="shared" si="5"/>
        <v>76</v>
      </c>
      <c r="AW106" s="87" t="str">
        <f t="shared" si="11"/>
        <v>Lenguaje de señas, Accesibilidad Universal, Horarios Acordes</v>
      </c>
      <c r="AX106" s="87" t="s">
        <v>211</v>
      </c>
      <c r="AY106" s="87" t="s">
        <v>246</v>
      </c>
      <c r="AZ106" s="87" t="s">
        <v>213</v>
      </c>
      <c r="BA106" s="91" t="s">
        <v>641</v>
      </c>
      <c r="BB106" s="84"/>
      <c r="BC106" s="85"/>
      <c r="BD106" s="85"/>
    </row>
    <row r="107" spans="1:56" s="86" customFormat="1" ht="46.5" customHeight="1">
      <c r="A107" s="87">
        <v>102</v>
      </c>
      <c r="B107" s="79" t="s">
        <v>642</v>
      </c>
      <c r="C107" s="88">
        <v>45363</v>
      </c>
      <c r="D107" s="89">
        <v>0.66666666666666663</v>
      </c>
      <c r="E107" s="87" t="s">
        <v>58</v>
      </c>
      <c r="F107" s="87" t="s">
        <v>61</v>
      </c>
      <c r="G107" s="87" t="s">
        <v>95</v>
      </c>
      <c r="H107" s="90" t="s">
        <v>643</v>
      </c>
      <c r="I107" s="90" t="s">
        <v>188</v>
      </c>
      <c r="J107" s="87" t="s">
        <v>70</v>
      </c>
      <c r="K107" s="87" t="s">
        <v>104</v>
      </c>
      <c r="L107" s="90" t="s">
        <v>644</v>
      </c>
      <c r="M107" s="91" t="s">
        <v>645</v>
      </c>
      <c r="N107" s="90" t="s">
        <v>646</v>
      </c>
      <c r="O107" s="90" t="str">
        <f t="shared" si="7"/>
        <v>Sumapaz</v>
      </c>
      <c r="P107" s="87" t="s">
        <v>327</v>
      </c>
      <c r="Q107" s="87"/>
      <c r="R107" s="87"/>
      <c r="S107" s="87"/>
      <c r="T107" s="87"/>
      <c r="U107" s="87"/>
      <c r="V107" s="90" t="str">
        <f t="shared" si="8"/>
        <v>Ruralidad</v>
      </c>
      <c r="W107" s="87" t="s">
        <v>109</v>
      </c>
      <c r="X107" s="87"/>
      <c r="Y107" s="87"/>
      <c r="Z107" s="87"/>
      <c r="AA107" s="87"/>
      <c r="AB107" s="87"/>
      <c r="AC107" s="90" t="str">
        <f t="shared" si="9"/>
        <v>Sumapaz</v>
      </c>
      <c r="AD107" s="87" t="s">
        <v>327</v>
      </c>
      <c r="AE107" s="87"/>
      <c r="AF107" s="87"/>
      <c r="AG107" s="87"/>
      <c r="AH107" s="87"/>
      <c r="AI107" s="87"/>
      <c r="AJ107" s="87"/>
      <c r="AK107" s="87"/>
      <c r="AL107" s="87"/>
      <c r="AM107" s="87"/>
      <c r="AN107" s="90" t="s">
        <v>160</v>
      </c>
      <c r="AO107" s="90" t="s">
        <v>647</v>
      </c>
      <c r="AP107" s="82"/>
      <c r="AQ107" s="87" t="s">
        <v>60</v>
      </c>
      <c r="AR107" s="87" t="s">
        <v>77</v>
      </c>
      <c r="AS107" s="82"/>
      <c r="AT107" s="87">
        <v>7</v>
      </c>
      <c r="AU107" s="87">
        <v>2</v>
      </c>
      <c r="AV107" s="87">
        <f t="shared" si="5"/>
        <v>9</v>
      </c>
      <c r="AW107" s="87" t="str">
        <f t="shared" si="11"/>
        <v>No Aplica</v>
      </c>
      <c r="AX107" s="87" t="s">
        <v>78</v>
      </c>
      <c r="AY107" s="87"/>
      <c r="AZ107" s="87"/>
      <c r="BA107" s="91" t="s">
        <v>648</v>
      </c>
      <c r="BB107" s="84"/>
      <c r="BC107" s="85"/>
      <c r="BD107" s="85"/>
    </row>
    <row r="108" spans="1:56" s="86" customFormat="1" ht="46.5" customHeight="1">
      <c r="A108" s="78">
        <v>103</v>
      </c>
      <c r="B108" s="79" t="s">
        <v>550</v>
      </c>
      <c r="C108" s="88">
        <v>45363</v>
      </c>
      <c r="D108" s="89">
        <v>0.70833333333333337</v>
      </c>
      <c r="E108" s="87" t="s">
        <v>93</v>
      </c>
      <c r="F108" s="87" t="s">
        <v>102</v>
      </c>
      <c r="G108" s="87" t="s">
        <v>95</v>
      </c>
      <c r="H108" s="90" t="s">
        <v>649</v>
      </c>
      <c r="I108" s="90" t="s">
        <v>118</v>
      </c>
      <c r="J108" s="87" t="s">
        <v>119</v>
      </c>
      <c r="K108" s="87" t="s">
        <v>129</v>
      </c>
      <c r="L108" s="90" t="s">
        <v>407</v>
      </c>
      <c r="M108" s="91">
        <v>3188799909</v>
      </c>
      <c r="N108" s="90" t="s">
        <v>552</v>
      </c>
      <c r="O108" s="90" t="str">
        <f t="shared" si="7"/>
        <v>Distrital</v>
      </c>
      <c r="P108" s="87" t="s">
        <v>73</v>
      </c>
      <c r="Q108" s="87"/>
      <c r="R108" s="87"/>
      <c r="S108" s="87"/>
      <c r="T108" s="87"/>
      <c r="U108" s="87"/>
      <c r="V108" s="90" t="str">
        <f t="shared" si="8"/>
        <v>Distrital</v>
      </c>
      <c r="W108" s="87" t="s">
        <v>73</v>
      </c>
      <c r="X108" s="87"/>
      <c r="Y108" s="87"/>
      <c r="Z108" s="87"/>
      <c r="AA108" s="87"/>
      <c r="AB108" s="87"/>
      <c r="AC108" s="90" t="str">
        <f t="shared" si="9"/>
        <v>Distrital</v>
      </c>
      <c r="AD108" s="87" t="s">
        <v>73</v>
      </c>
      <c r="AE108" s="87"/>
      <c r="AF108" s="87"/>
      <c r="AG108" s="87"/>
      <c r="AH108" s="87"/>
      <c r="AI108" s="87"/>
      <c r="AJ108" s="87"/>
      <c r="AK108" s="87"/>
      <c r="AL108" s="87"/>
      <c r="AM108" s="87"/>
      <c r="AN108" s="90" t="s">
        <v>160</v>
      </c>
      <c r="AO108" s="92" t="s">
        <v>650</v>
      </c>
      <c r="AP108" s="82"/>
      <c r="AQ108" s="87" t="s">
        <v>59</v>
      </c>
      <c r="AR108" s="87" t="s">
        <v>80</v>
      </c>
      <c r="AS108" s="82"/>
      <c r="AT108" s="87">
        <v>86</v>
      </c>
      <c r="AU108" s="87">
        <v>1</v>
      </c>
      <c r="AV108" s="87">
        <f t="shared" si="5"/>
        <v>87</v>
      </c>
      <c r="AW108" s="87" t="str">
        <f t="shared" si="11"/>
        <v>No Aplica</v>
      </c>
      <c r="AX108" s="87" t="s">
        <v>78</v>
      </c>
      <c r="AY108" s="87"/>
      <c r="AZ108" s="87"/>
      <c r="BA108" s="91" t="s">
        <v>651</v>
      </c>
      <c r="BB108" s="84"/>
      <c r="BC108" s="85"/>
      <c r="BD108" s="85"/>
    </row>
    <row r="109" spans="1:56" s="86" customFormat="1" ht="46.5" customHeight="1">
      <c r="A109" s="87">
        <v>104</v>
      </c>
      <c r="B109" s="79" t="s">
        <v>271</v>
      </c>
      <c r="C109" s="88">
        <v>45364</v>
      </c>
      <c r="D109" s="89">
        <v>0.33333333333333331</v>
      </c>
      <c r="E109" s="87" t="s">
        <v>58</v>
      </c>
      <c r="F109" s="87" t="s">
        <v>61</v>
      </c>
      <c r="G109" s="87" t="s">
        <v>95</v>
      </c>
      <c r="H109" s="90" t="s">
        <v>652</v>
      </c>
      <c r="I109" s="90" t="s">
        <v>172</v>
      </c>
      <c r="J109" s="87" t="s">
        <v>70</v>
      </c>
      <c r="K109" s="87" t="s">
        <v>71</v>
      </c>
      <c r="L109" s="90" t="s">
        <v>72</v>
      </c>
      <c r="M109" s="90" t="s">
        <v>72</v>
      </c>
      <c r="N109" s="90" t="s">
        <v>72</v>
      </c>
      <c r="O109" s="90" t="str">
        <f t="shared" si="7"/>
        <v>Distrital</v>
      </c>
      <c r="P109" s="87" t="s">
        <v>73</v>
      </c>
      <c r="Q109" s="87"/>
      <c r="R109" s="87"/>
      <c r="S109" s="87"/>
      <c r="T109" s="87"/>
      <c r="U109" s="87"/>
      <c r="V109" s="90" t="str">
        <f t="shared" si="8"/>
        <v>Distrital</v>
      </c>
      <c r="W109" s="87" t="s">
        <v>73</v>
      </c>
      <c r="X109" s="87"/>
      <c r="Y109" s="87"/>
      <c r="Z109" s="87"/>
      <c r="AA109" s="87"/>
      <c r="AB109" s="87"/>
      <c r="AC109" s="90" t="str">
        <f t="shared" si="9"/>
        <v>Distrital</v>
      </c>
      <c r="AD109" s="87" t="s">
        <v>73</v>
      </c>
      <c r="AE109" s="87"/>
      <c r="AF109" s="87"/>
      <c r="AG109" s="87"/>
      <c r="AH109" s="87"/>
      <c r="AI109" s="87"/>
      <c r="AJ109" s="87"/>
      <c r="AK109" s="87"/>
      <c r="AL109" s="87"/>
      <c r="AM109" s="87"/>
      <c r="AN109" s="90" t="s">
        <v>160</v>
      </c>
      <c r="AO109" s="92" t="s">
        <v>653</v>
      </c>
      <c r="AP109" s="82"/>
      <c r="AQ109" s="87" t="s">
        <v>60</v>
      </c>
      <c r="AR109" s="87" t="s">
        <v>77</v>
      </c>
      <c r="AS109" s="82"/>
      <c r="AT109" s="87">
        <v>11</v>
      </c>
      <c r="AU109" s="87">
        <v>15</v>
      </c>
      <c r="AV109" s="87">
        <f t="shared" si="5"/>
        <v>26</v>
      </c>
      <c r="AW109" s="87" t="str">
        <f t="shared" si="11"/>
        <v>No Aplica</v>
      </c>
      <c r="AX109" s="87" t="s">
        <v>78</v>
      </c>
      <c r="AY109" s="87"/>
      <c r="AZ109" s="87"/>
      <c r="BA109" s="91" t="s">
        <v>654</v>
      </c>
      <c r="BB109" s="84"/>
      <c r="BC109" s="85"/>
      <c r="BD109" s="85"/>
    </row>
    <row r="110" spans="1:56" s="86" customFormat="1" ht="46.5" customHeight="1">
      <c r="A110" s="78">
        <v>105</v>
      </c>
      <c r="B110" s="79" t="s">
        <v>655</v>
      </c>
      <c r="C110" s="88">
        <v>45364</v>
      </c>
      <c r="D110" s="89">
        <v>0.33333333333333331</v>
      </c>
      <c r="E110" s="87" t="s">
        <v>93</v>
      </c>
      <c r="F110" s="87" t="s">
        <v>321</v>
      </c>
      <c r="G110" s="87" t="s">
        <v>62</v>
      </c>
      <c r="H110" s="90" t="s">
        <v>656</v>
      </c>
      <c r="I110" s="90" t="s">
        <v>64</v>
      </c>
      <c r="J110" s="87" t="s">
        <v>70</v>
      </c>
      <c r="K110" s="87" t="s">
        <v>324</v>
      </c>
      <c r="L110" s="90" t="s">
        <v>657</v>
      </c>
      <c r="M110" s="90" t="s">
        <v>658</v>
      </c>
      <c r="N110" s="90" t="s">
        <v>72</v>
      </c>
      <c r="O110" s="90" t="str">
        <f t="shared" si="7"/>
        <v>Antonio Nariño</v>
      </c>
      <c r="P110" s="87" t="s">
        <v>413</v>
      </c>
      <c r="Q110" s="87"/>
      <c r="R110" s="87"/>
      <c r="S110" s="87"/>
      <c r="T110" s="87"/>
      <c r="U110" s="87"/>
      <c r="V110" s="90" t="str">
        <f t="shared" si="8"/>
        <v>Centro Ampliado</v>
      </c>
      <c r="W110" s="87" t="s">
        <v>415</v>
      </c>
      <c r="X110" s="87"/>
      <c r="Y110" s="87"/>
      <c r="Z110" s="87"/>
      <c r="AA110" s="87"/>
      <c r="AB110" s="87"/>
      <c r="AC110" s="90" t="str">
        <f t="shared" si="9"/>
        <v>Restrepo</v>
      </c>
      <c r="AD110" s="87" t="s">
        <v>416</v>
      </c>
      <c r="AE110" s="87"/>
      <c r="AF110" s="87"/>
      <c r="AG110" s="87"/>
      <c r="AH110" s="87"/>
      <c r="AI110" s="87"/>
      <c r="AJ110" s="87"/>
      <c r="AK110" s="87"/>
      <c r="AL110" s="87"/>
      <c r="AM110" s="87"/>
      <c r="AN110" s="90" t="s">
        <v>160</v>
      </c>
      <c r="AO110" s="94" t="s">
        <v>659</v>
      </c>
      <c r="AP110" s="82"/>
      <c r="AQ110" s="87" t="s">
        <v>59</v>
      </c>
      <c r="AR110" s="87" t="s">
        <v>80</v>
      </c>
      <c r="AS110" s="82"/>
      <c r="AT110" s="87">
        <v>18</v>
      </c>
      <c r="AU110" s="87">
        <v>1</v>
      </c>
      <c r="AV110" s="87">
        <f t="shared" si="5"/>
        <v>19</v>
      </c>
      <c r="AW110" s="87" t="str">
        <f t="shared" si="11"/>
        <v>No Aplica</v>
      </c>
      <c r="AX110" s="87" t="s">
        <v>78</v>
      </c>
      <c r="AY110" s="87"/>
      <c r="AZ110" s="87"/>
      <c r="BA110" s="91" t="s">
        <v>660</v>
      </c>
      <c r="BB110" s="84"/>
      <c r="BC110" s="85"/>
      <c r="BD110" s="85"/>
    </row>
    <row r="111" spans="1:56" s="86" customFormat="1" ht="46.5" customHeight="1">
      <c r="A111" s="87">
        <v>106</v>
      </c>
      <c r="B111" s="79" t="s">
        <v>661</v>
      </c>
      <c r="C111" s="88">
        <v>45364</v>
      </c>
      <c r="D111" s="89">
        <v>0.375</v>
      </c>
      <c r="E111" s="87" t="s">
        <v>93</v>
      </c>
      <c r="F111" s="87" t="s">
        <v>321</v>
      </c>
      <c r="G111" s="87" t="s">
        <v>62</v>
      </c>
      <c r="H111" s="90" t="s">
        <v>662</v>
      </c>
      <c r="I111" s="90" t="s">
        <v>64</v>
      </c>
      <c r="J111" s="87" t="s">
        <v>70</v>
      </c>
      <c r="K111" s="87" t="s">
        <v>324</v>
      </c>
      <c r="L111" s="90" t="s">
        <v>663</v>
      </c>
      <c r="M111" s="91">
        <v>3163896199</v>
      </c>
      <c r="N111" s="90" t="s">
        <v>664</v>
      </c>
      <c r="O111" s="90" t="str">
        <f t="shared" si="7"/>
        <v>Teusaquillo</v>
      </c>
      <c r="P111" s="87" t="s">
        <v>665</v>
      </c>
      <c r="Q111" s="87"/>
      <c r="R111" s="87"/>
      <c r="S111" s="87"/>
      <c r="T111" s="87"/>
      <c r="U111" s="87"/>
      <c r="V111" s="90" t="str">
        <f t="shared" si="8"/>
        <v>Centro Ampliado</v>
      </c>
      <c r="W111" s="87" t="s">
        <v>415</v>
      </c>
      <c r="X111" s="87"/>
      <c r="Y111" s="87"/>
      <c r="Z111" s="87"/>
      <c r="AA111" s="87"/>
      <c r="AB111" s="87"/>
      <c r="AC111" s="90" t="str">
        <f t="shared" si="9"/>
        <v>Teusaquillo</v>
      </c>
      <c r="AD111" s="87" t="s">
        <v>665</v>
      </c>
      <c r="AE111" s="87"/>
      <c r="AF111" s="87"/>
      <c r="AG111" s="87"/>
      <c r="AH111" s="87"/>
      <c r="AI111" s="87"/>
      <c r="AJ111" s="87"/>
      <c r="AK111" s="87"/>
      <c r="AL111" s="87"/>
      <c r="AM111" s="87"/>
      <c r="AN111" s="90" t="s">
        <v>160</v>
      </c>
      <c r="AO111" s="94" t="s">
        <v>666</v>
      </c>
      <c r="AP111" s="82"/>
      <c r="AQ111" s="87" t="s">
        <v>59</v>
      </c>
      <c r="AR111" s="87" t="s">
        <v>80</v>
      </c>
      <c r="AS111" s="82"/>
      <c r="AT111" s="87">
        <v>24</v>
      </c>
      <c r="AU111" s="87">
        <v>1</v>
      </c>
      <c r="AV111" s="87">
        <f t="shared" si="5"/>
        <v>25</v>
      </c>
      <c r="AW111" s="87" t="str">
        <f t="shared" si="11"/>
        <v>No Aplica</v>
      </c>
      <c r="AX111" s="87" t="s">
        <v>78</v>
      </c>
      <c r="AY111" s="87"/>
      <c r="AZ111" s="87"/>
      <c r="BA111" s="91" t="s">
        <v>667</v>
      </c>
      <c r="BB111" s="84"/>
      <c r="BC111" s="85"/>
      <c r="BD111" s="85"/>
    </row>
    <row r="112" spans="1:56" s="86" customFormat="1" ht="46.5" customHeight="1">
      <c r="A112" s="78">
        <v>107</v>
      </c>
      <c r="B112" s="79" t="s">
        <v>668</v>
      </c>
      <c r="C112" s="88">
        <v>45364</v>
      </c>
      <c r="D112" s="89">
        <v>0.375</v>
      </c>
      <c r="E112" s="87" t="s">
        <v>93</v>
      </c>
      <c r="F112" s="87" t="s">
        <v>321</v>
      </c>
      <c r="G112" s="87" t="s">
        <v>62</v>
      </c>
      <c r="H112" s="90" t="s">
        <v>669</v>
      </c>
      <c r="I112" s="90" t="s">
        <v>64</v>
      </c>
      <c r="J112" s="87" t="s">
        <v>70</v>
      </c>
      <c r="K112" s="87" t="s">
        <v>324</v>
      </c>
      <c r="L112" s="90" t="s">
        <v>599</v>
      </c>
      <c r="M112" s="90" t="s">
        <v>72</v>
      </c>
      <c r="N112" s="90" t="s">
        <v>72</v>
      </c>
      <c r="O112" s="90" t="str">
        <f t="shared" si="7"/>
        <v>Usme</v>
      </c>
      <c r="P112" s="87" t="s">
        <v>670</v>
      </c>
      <c r="Q112" s="87"/>
      <c r="R112" s="87"/>
      <c r="S112" s="87"/>
      <c r="T112" s="87"/>
      <c r="U112" s="87"/>
      <c r="V112" s="90" t="str">
        <f t="shared" si="8"/>
        <v>Suroriente, Ruralidad</v>
      </c>
      <c r="W112" s="87" t="s">
        <v>108</v>
      </c>
      <c r="X112" s="87" t="s">
        <v>109</v>
      </c>
      <c r="Y112" s="87"/>
      <c r="Z112" s="87"/>
      <c r="AA112" s="87"/>
      <c r="AB112" s="87"/>
      <c r="AC112" s="90" t="str">
        <f t="shared" si="9"/>
        <v>Usme Entrenubes, Rafael Uribe, Cuenca del Tunjuelo, Cerros Orientales</v>
      </c>
      <c r="AD112" s="87" t="s">
        <v>671</v>
      </c>
      <c r="AE112" s="87" t="s">
        <v>467</v>
      </c>
      <c r="AF112" s="87" t="s">
        <v>112</v>
      </c>
      <c r="AG112" s="87" t="s">
        <v>222</v>
      </c>
      <c r="AH112" s="87"/>
      <c r="AI112" s="87"/>
      <c r="AJ112" s="87"/>
      <c r="AK112" s="87"/>
      <c r="AL112" s="87"/>
      <c r="AM112" s="87"/>
      <c r="AN112" s="90" t="s">
        <v>160</v>
      </c>
      <c r="AO112" s="94" t="s">
        <v>672</v>
      </c>
      <c r="AP112" s="82"/>
      <c r="AQ112" s="87" t="s">
        <v>59</v>
      </c>
      <c r="AR112" s="87" t="s">
        <v>80</v>
      </c>
      <c r="AS112" s="82"/>
      <c r="AT112" s="87">
        <v>17</v>
      </c>
      <c r="AU112" s="87">
        <v>1</v>
      </c>
      <c r="AV112" s="87">
        <f t="shared" si="5"/>
        <v>18</v>
      </c>
      <c r="AW112" s="87" t="str">
        <f t="shared" si="11"/>
        <v>No Aplica</v>
      </c>
      <c r="AX112" s="87" t="s">
        <v>78</v>
      </c>
      <c r="AY112" s="87"/>
      <c r="AZ112" s="87"/>
      <c r="BA112" s="91" t="s">
        <v>673</v>
      </c>
      <c r="BB112" s="84"/>
      <c r="BC112" s="85"/>
      <c r="BD112" s="85"/>
    </row>
    <row r="113" spans="1:56" s="86" customFormat="1" ht="46.5" customHeight="1">
      <c r="A113" s="87">
        <v>108</v>
      </c>
      <c r="B113" s="79" t="s">
        <v>674</v>
      </c>
      <c r="C113" s="88">
        <v>45364</v>
      </c>
      <c r="D113" s="89">
        <v>0.39583333333333331</v>
      </c>
      <c r="E113" s="87" t="s">
        <v>58</v>
      </c>
      <c r="F113" s="87" t="s">
        <v>61</v>
      </c>
      <c r="G113" s="87" t="s">
        <v>95</v>
      </c>
      <c r="H113" s="90" t="s">
        <v>375</v>
      </c>
      <c r="I113" s="90" t="s">
        <v>64</v>
      </c>
      <c r="J113" s="87" t="s">
        <v>70</v>
      </c>
      <c r="K113" s="87" t="s">
        <v>71</v>
      </c>
      <c r="L113" s="91" t="s">
        <v>380</v>
      </c>
      <c r="M113" s="91">
        <v>3143480013</v>
      </c>
      <c r="N113" s="91" t="s">
        <v>381</v>
      </c>
      <c r="O113" s="90" t="str">
        <f t="shared" si="7"/>
        <v>Distrital</v>
      </c>
      <c r="P113" s="87" t="s">
        <v>73</v>
      </c>
      <c r="Q113" s="87"/>
      <c r="R113" s="87"/>
      <c r="S113" s="87"/>
      <c r="T113" s="87"/>
      <c r="U113" s="87"/>
      <c r="V113" s="90" t="str">
        <f t="shared" si="8"/>
        <v>Distrital</v>
      </c>
      <c r="W113" s="87" t="s">
        <v>73</v>
      </c>
      <c r="X113" s="87"/>
      <c r="Y113" s="87"/>
      <c r="Z113" s="87"/>
      <c r="AA113" s="87"/>
      <c r="AB113" s="87"/>
      <c r="AC113" s="90" t="str">
        <f t="shared" si="9"/>
        <v>Distrital</v>
      </c>
      <c r="AD113" s="87" t="s">
        <v>73</v>
      </c>
      <c r="AE113" s="87"/>
      <c r="AF113" s="87"/>
      <c r="AG113" s="87"/>
      <c r="AH113" s="87"/>
      <c r="AI113" s="87"/>
      <c r="AJ113" s="87"/>
      <c r="AK113" s="87"/>
      <c r="AL113" s="87"/>
      <c r="AM113" s="87"/>
      <c r="AN113" s="90" t="s">
        <v>160</v>
      </c>
      <c r="AO113" s="92" t="s">
        <v>675</v>
      </c>
      <c r="AP113" s="82"/>
      <c r="AQ113" s="87" t="s">
        <v>60</v>
      </c>
      <c r="AR113" s="87" t="s">
        <v>77</v>
      </c>
      <c r="AS113" s="82"/>
      <c r="AT113" s="87">
        <v>47</v>
      </c>
      <c r="AU113" s="87">
        <v>1</v>
      </c>
      <c r="AV113" s="87">
        <f t="shared" si="5"/>
        <v>48</v>
      </c>
      <c r="AW113" s="87" t="str">
        <f t="shared" si="11"/>
        <v>No Aplica</v>
      </c>
      <c r="AX113" s="87" t="s">
        <v>78</v>
      </c>
      <c r="AY113" s="87"/>
      <c r="AZ113" s="87"/>
      <c r="BA113" s="91" t="s">
        <v>676</v>
      </c>
      <c r="BB113" s="84"/>
      <c r="BC113" s="85"/>
      <c r="BD113" s="85"/>
    </row>
    <row r="114" spans="1:56" s="86" customFormat="1" ht="46.5" customHeight="1">
      <c r="A114" s="78">
        <v>109</v>
      </c>
      <c r="B114" s="79" t="s">
        <v>677</v>
      </c>
      <c r="C114" s="88">
        <v>45364</v>
      </c>
      <c r="D114" s="89">
        <v>0.58333333333333337</v>
      </c>
      <c r="E114" s="87" t="s">
        <v>58</v>
      </c>
      <c r="F114" s="87" t="s">
        <v>61</v>
      </c>
      <c r="G114" s="87" t="s">
        <v>62</v>
      </c>
      <c r="H114" s="90" t="s">
        <v>678</v>
      </c>
      <c r="I114" s="90" t="s">
        <v>64</v>
      </c>
      <c r="J114" s="87" t="s">
        <v>173</v>
      </c>
      <c r="K114" s="87"/>
      <c r="L114" s="90" t="s">
        <v>593</v>
      </c>
      <c r="M114" s="91">
        <v>3159261429</v>
      </c>
      <c r="N114" s="90" t="s">
        <v>594</v>
      </c>
      <c r="O114" s="90" t="str">
        <f t="shared" si="7"/>
        <v>Distrital</v>
      </c>
      <c r="P114" s="87" t="s">
        <v>73</v>
      </c>
      <c r="Q114" s="87"/>
      <c r="R114" s="87"/>
      <c r="S114" s="87"/>
      <c r="T114" s="87"/>
      <c r="U114" s="87"/>
      <c r="V114" s="90" t="str">
        <f t="shared" si="8"/>
        <v>Distrital</v>
      </c>
      <c r="W114" s="87" t="s">
        <v>73</v>
      </c>
      <c r="X114" s="87"/>
      <c r="Y114" s="87"/>
      <c r="Z114" s="87"/>
      <c r="AA114" s="87"/>
      <c r="AB114" s="87"/>
      <c r="AC114" s="90" t="str">
        <f t="shared" si="9"/>
        <v>Distrital</v>
      </c>
      <c r="AD114" s="87" t="s">
        <v>73</v>
      </c>
      <c r="AE114" s="87"/>
      <c r="AF114" s="87"/>
      <c r="AG114" s="87"/>
      <c r="AH114" s="87"/>
      <c r="AI114" s="87"/>
      <c r="AJ114" s="87"/>
      <c r="AK114" s="87"/>
      <c r="AL114" s="87"/>
      <c r="AM114" s="87"/>
      <c r="AN114" s="90" t="s">
        <v>160</v>
      </c>
      <c r="AO114" s="90" t="s">
        <v>679</v>
      </c>
      <c r="AP114" s="82"/>
      <c r="AQ114" s="87" t="s">
        <v>60</v>
      </c>
      <c r="AR114" s="87" t="s">
        <v>77</v>
      </c>
      <c r="AS114" s="82"/>
      <c r="AT114" s="87">
        <v>14</v>
      </c>
      <c r="AU114" s="87">
        <v>3</v>
      </c>
      <c r="AV114" s="87">
        <f t="shared" si="5"/>
        <v>17</v>
      </c>
      <c r="AW114" s="87" t="str">
        <f t="shared" si="11"/>
        <v>No Aplica</v>
      </c>
      <c r="AX114" s="87" t="s">
        <v>78</v>
      </c>
      <c r="AY114" s="87"/>
      <c r="AZ114" s="87"/>
      <c r="BA114" s="91" t="s">
        <v>680</v>
      </c>
      <c r="BB114" s="84"/>
      <c r="BC114" s="85"/>
      <c r="BD114" s="85"/>
    </row>
    <row r="115" spans="1:56" s="86" customFormat="1" ht="46.5" customHeight="1">
      <c r="A115" s="87">
        <v>110</v>
      </c>
      <c r="B115" s="79" t="s">
        <v>681</v>
      </c>
      <c r="C115" s="88">
        <v>45364</v>
      </c>
      <c r="D115" s="95">
        <v>0.625</v>
      </c>
      <c r="E115" s="87" t="s">
        <v>58</v>
      </c>
      <c r="F115" s="87" t="s">
        <v>135</v>
      </c>
      <c r="G115" s="87" t="s">
        <v>62</v>
      </c>
      <c r="H115" s="90" t="s">
        <v>682</v>
      </c>
      <c r="I115" s="90" t="s">
        <v>64</v>
      </c>
      <c r="J115" s="87" t="s">
        <v>70</v>
      </c>
      <c r="K115" s="87" t="s">
        <v>71</v>
      </c>
      <c r="L115" s="90" t="s">
        <v>72</v>
      </c>
      <c r="M115" s="90" t="s">
        <v>72</v>
      </c>
      <c r="N115" s="90" t="s">
        <v>72</v>
      </c>
      <c r="O115" s="90" t="str">
        <f t="shared" si="7"/>
        <v>Distrital</v>
      </c>
      <c r="P115" s="87" t="s">
        <v>73</v>
      </c>
      <c r="Q115" s="87"/>
      <c r="R115" s="87"/>
      <c r="S115" s="87"/>
      <c r="T115" s="87"/>
      <c r="U115" s="87"/>
      <c r="V115" s="90" t="str">
        <f t="shared" si="8"/>
        <v>Distrital</v>
      </c>
      <c r="W115" s="87" t="s">
        <v>73</v>
      </c>
      <c r="X115" s="87"/>
      <c r="Y115" s="87"/>
      <c r="Z115" s="87"/>
      <c r="AA115" s="87"/>
      <c r="AB115" s="87"/>
      <c r="AC115" s="90" t="str">
        <f t="shared" si="9"/>
        <v>Distrital</v>
      </c>
      <c r="AD115" s="87" t="s">
        <v>73</v>
      </c>
      <c r="AE115" s="87"/>
      <c r="AF115" s="87"/>
      <c r="AG115" s="87"/>
      <c r="AH115" s="87"/>
      <c r="AI115" s="87"/>
      <c r="AJ115" s="87"/>
      <c r="AK115" s="87"/>
      <c r="AL115" s="87"/>
      <c r="AM115" s="87"/>
      <c r="AN115" s="90" t="s">
        <v>160</v>
      </c>
      <c r="AO115" s="90" t="s">
        <v>683</v>
      </c>
      <c r="AP115" s="82"/>
      <c r="AQ115" s="87" t="s">
        <v>59</v>
      </c>
      <c r="AR115" s="87" t="s">
        <v>80</v>
      </c>
      <c r="AS115" s="82"/>
      <c r="AT115" s="87">
        <v>0</v>
      </c>
      <c r="AU115" s="87">
        <v>8</v>
      </c>
      <c r="AV115" s="87">
        <f t="shared" si="5"/>
        <v>8</v>
      </c>
      <c r="AW115" s="87" t="str">
        <f t="shared" si="11"/>
        <v>No Aplica</v>
      </c>
      <c r="AX115" s="87" t="s">
        <v>78</v>
      </c>
      <c r="AY115" s="87"/>
      <c r="AZ115" s="87"/>
      <c r="BA115" s="91" t="s">
        <v>684</v>
      </c>
      <c r="BB115" s="84"/>
      <c r="BC115" s="85"/>
      <c r="BD115" s="85"/>
    </row>
    <row r="116" spans="1:56" s="86" customFormat="1" ht="46.5" customHeight="1">
      <c r="A116" s="78">
        <v>111</v>
      </c>
      <c r="B116" s="79" t="s">
        <v>685</v>
      </c>
      <c r="C116" s="88">
        <v>45364</v>
      </c>
      <c r="D116" s="89">
        <v>0.64583333333333337</v>
      </c>
      <c r="E116" s="87" t="s">
        <v>58</v>
      </c>
      <c r="F116" s="87" t="s">
        <v>61</v>
      </c>
      <c r="G116" s="87" t="s">
        <v>62</v>
      </c>
      <c r="H116" s="90" t="s">
        <v>392</v>
      </c>
      <c r="I116" s="90" t="s">
        <v>172</v>
      </c>
      <c r="J116" s="87" t="s">
        <v>173</v>
      </c>
      <c r="K116" s="87"/>
      <c r="L116" s="90" t="s">
        <v>72</v>
      </c>
      <c r="M116" s="90" t="s">
        <v>72</v>
      </c>
      <c r="N116" s="90" t="s">
        <v>72</v>
      </c>
      <c r="O116" s="90" t="str">
        <f t="shared" si="7"/>
        <v>Barrios Unidos</v>
      </c>
      <c r="P116" s="87" t="s">
        <v>686</v>
      </c>
      <c r="Q116" s="87"/>
      <c r="R116" s="87"/>
      <c r="S116" s="87"/>
      <c r="T116" s="87"/>
      <c r="U116" s="87"/>
      <c r="V116" s="90" t="str">
        <f t="shared" si="8"/>
        <v>Centro Ampliado</v>
      </c>
      <c r="W116" s="87" t="s">
        <v>415</v>
      </c>
      <c r="X116" s="87"/>
      <c r="Y116" s="87"/>
      <c r="Z116" s="87"/>
      <c r="AA116" s="87"/>
      <c r="AB116" s="87"/>
      <c r="AC116" s="90" t="str">
        <f t="shared" si="9"/>
        <v>Barrios Unidos</v>
      </c>
      <c r="AD116" s="87" t="s">
        <v>686</v>
      </c>
      <c r="AE116" s="87"/>
      <c r="AF116" s="87"/>
      <c r="AG116" s="87"/>
      <c r="AH116" s="87"/>
      <c r="AI116" s="87"/>
      <c r="AJ116" s="87"/>
      <c r="AK116" s="87"/>
      <c r="AL116" s="87"/>
      <c r="AM116" s="87"/>
      <c r="AN116" s="90" t="s">
        <v>160</v>
      </c>
      <c r="AO116" s="90" t="s">
        <v>687</v>
      </c>
      <c r="AP116" s="82"/>
      <c r="AQ116" s="87" t="s">
        <v>60</v>
      </c>
      <c r="AR116" s="87" t="s">
        <v>398</v>
      </c>
      <c r="AS116" s="82"/>
      <c r="AT116" s="87">
        <v>69</v>
      </c>
      <c r="AU116" s="87">
        <v>17</v>
      </c>
      <c r="AV116" s="87">
        <f t="shared" si="5"/>
        <v>86</v>
      </c>
      <c r="AW116" s="87" t="str">
        <f t="shared" si="11"/>
        <v>Lenguaje de señas</v>
      </c>
      <c r="AX116" s="87" t="s">
        <v>211</v>
      </c>
      <c r="AY116" s="87"/>
      <c r="AZ116" s="87"/>
      <c r="BA116" s="91" t="s">
        <v>688</v>
      </c>
      <c r="BB116" s="84"/>
      <c r="BC116" s="85"/>
      <c r="BD116" s="85"/>
    </row>
    <row r="117" spans="1:56" s="86" customFormat="1" ht="46.5" customHeight="1">
      <c r="A117" s="87">
        <v>112</v>
      </c>
      <c r="B117" s="79" t="s">
        <v>689</v>
      </c>
      <c r="C117" s="88">
        <v>45364</v>
      </c>
      <c r="D117" s="89">
        <v>0.70833333333333337</v>
      </c>
      <c r="E117" s="87" t="s">
        <v>93</v>
      </c>
      <c r="F117" s="87" t="s">
        <v>102</v>
      </c>
      <c r="G117" s="87" t="s">
        <v>95</v>
      </c>
      <c r="H117" s="90" t="s">
        <v>690</v>
      </c>
      <c r="I117" s="90" t="s">
        <v>118</v>
      </c>
      <c r="J117" s="87" t="s">
        <v>119</v>
      </c>
      <c r="K117" s="87" t="s">
        <v>129</v>
      </c>
      <c r="L117" s="90" t="s">
        <v>691</v>
      </c>
      <c r="M117" s="91">
        <v>3013090210</v>
      </c>
      <c r="N117" s="90" t="s">
        <v>692</v>
      </c>
      <c r="O117" s="90" t="str">
        <f t="shared" si="7"/>
        <v>Distrital</v>
      </c>
      <c r="P117" s="87" t="s">
        <v>73</v>
      </c>
      <c r="Q117" s="87"/>
      <c r="R117" s="87"/>
      <c r="S117" s="87"/>
      <c r="T117" s="87"/>
      <c r="U117" s="87"/>
      <c r="V117" s="90" t="str">
        <f t="shared" si="8"/>
        <v>Distrital</v>
      </c>
      <c r="W117" s="87" t="s">
        <v>73</v>
      </c>
      <c r="X117" s="96"/>
      <c r="Y117" s="96"/>
      <c r="Z117" s="96"/>
      <c r="AA117" s="96"/>
      <c r="AB117" s="96"/>
      <c r="AC117" s="90" t="str">
        <f t="shared" si="9"/>
        <v>Distrital</v>
      </c>
      <c r="AD117" s="87" t="s">
        <v>73</v>
      </c>
      <c r="AE117" s="97"/>
      <c r="AF117" s="97"/>
      <c r="AG117" s="97"/>
      <c r="AH117" s="97"/>
      <c r="AI117" s="97"/>
      <c r="AJ117" s="97"/>
      <c r="AK117" s="97"/>
      <c r="AL117" s="97"/>
      <c r="AM117" s="97"/>
      <c r="AN117" s="90" t="s">
        <v>160</v>
      </c>
      <c r="AO117" s="92" t="s">
        <v>693</v>
      </c>
      <c r="AP117" s="98"/>
      <c r="AQ117" s="87" t="s">
        <v>60</v>
      </c>
      <c r="AR117" s="87" t="s">
        <v>77</v>
      </c>
      <c r="AS117" s="98"/>
      <c r="AT117" s="87">
        <v>17</v>
      </c>
      <c r="AU117" s="87">
        <v>1</v>
      </c>
      <c r="AV117" s="87">
        <f t="shared" si="5"/>
        <v>18</v>
      </c>
      <c r="AW117" s="87" t="str">
        <f t="shared" si="11"/>
        <v>No Aplica</v>
      </c>
      <c r="AX117" s="87" t="s">
        <v>78</v>
      </c>
      <c r="AY117" s="96"/>
      <c r="AZ117" s="96"/>
      <c r="BA117" s="91" t="s">
        <v>694</v>
      </c>
      <c r="BB117" s="98"/>
      <c r="BC117" s="99"/>
      <c r="BD117" s="100"/>
    </row>
    <row r="118" spans="1:56" s="86" customFormat="1" ht="46.5" customHeight="1">
      <c r="A118" s="78">
        <v>113</v>
      </c>
      <c r="B118" s="79" t="s">
        <v>695</v>
      </c>
      <c r="C118" s="88">
        <v>45365</v>
      </c>
      <c r="D118" s="89">
        <v>0.29166666666666669</v>
      </c>
      <c r="E118" s="87" t="s">
        <v>93</v>
      </c>
      <c r="F118" s="87" t="s">
        <v>321</v>
      </c>
      <c r="G118" s="87" t="s">
        <v>95</v>
      </c>
      <c r="H118" s="90" t="s">
        <v>518</v>
      </c>
      <c r="I118" s="90" t="s">
        <v>64</v>
      </c>
      <c r="J118" s="87" t="s">
        <v>70</v>
      </c>
      <c r="K118" s="87" t="s">
        <v>324</v>
      </c>
      <c r="L118" s="90" t="s">
        <v>696</v>
      </c>
      <c r="M118" s="91" t="s">
        <v>72</v>
      </c>
      <c r="N118" s="90" t="s">
        <v>72</v>
      </c>
      <c r="O118" s="90" t="str">
        <f t="shared" si="7"/>
        <v>San Cristóbal</v>
      </c>
      <c r="P118" s="87" t="s">
        <v>370</v>
      </c>
      <c r="Q118" s="87"/>
      <c r="R118" s="87"/>
      <c r="S118" s="87"/>
      <c r="T118" s="87"/>
      <c r="U118" s="87"/>
      <c r="V118" s="90" t="str">
        <f t="shared" si="8"/>
        <v>Suroriente, Ruralidad</v>
      </c>
      <c r="W118" s="87" t="s">
        <v>108</v>
      </c>
      <c r="X118" s="87" t="s">
        <v>109</v>
      </c>
      <c r="Y118" s="87"/>
      <c r="Z118" s="87"/>
      <c r="AA118" s="87"/>
      <c r="AB118" s="87"/>
      <c r="AC118" s="90" t="str">
        <f t="shared" si="9"/>
        <v>San Cristobal, Cerros Orientales</v>
      </c>
      <c r="AD118" s="87" t="s">
        <v>371</v>
      </c>
      <c r="AE118" s="87" t="s">
        <v>222</v>
      </c>
      <c r="AF118" s="87"/>
      <c r="AG118" s="87"/>
      <c r="AH118" s="87"/>
      <c r="AI118" s="87"/>
      <c r="AJ118" s="87"/>
      <c r="AK118" s="87"/>
      <c r="AL118" s="87"/>
      <c r="AM118" s="87"/>
      <c r="AN118" s="90" t="s">
        <v>160</v>
      </c>
      <c r="AO118" s="94" t="s">
        <v>697</v>
      </c>
      <c r="AP118" s="82"/>
      <c r="AQ118" s="87" t="s">
        <v>59</v>
      </c>
      <c r="AR118" s="87" t="s">
        <v>80</v>
      </c>
      <c r="AS118" s="82"/>
      <c r="AT118" s="87">
        <v>14</v>
      </c>
      <c r="AU118" s="87">
        <v>1</v>
      </c>
      <c r="AV118" s="87">
        <f t="shared" si="5"/>
        <v>15</v>
      </c>
      <c r="AW118" s="87" t="str">
        <f t="shared" si="11"/>
        <v>No Aplica</v>
      </c>
      <c r="AX118" s="87" t="s">
        <v>78</v>
      </c>
      <c r="AY118" s="87"/>
      <c r="AZ118" s="87"/>
      <c r="BA118" s="91" t="s">
        <v>698</v>
      </c>
      <c r="BB118" s="84"/>
      <c r="BC118" s="85"/>
      <c r="BD118" s="85"/>
    </row>
    <row r="119" spans="1:56" s="86" customFormat="1" ht="46.5" customHeight="1">
      <c r="A119" s="87">
        <v>114</v>
      </c>
      <c r="B119" s="79" t="s">
        <v>699</v>
      </c>
      <c r="C119" s="88">
        <v>45365</v>
      </c>
      <c r="D119" s="89">
        <v>0.375</v>
      </c>
      <c r="E119" s="87" t="s">
        <v>93</v>
      </c>
      <c r="F119" s="87" t="s">
        <v>321</v>
      </c>
      <c r="G119" s="87" t="s">
        <v>62</v>
      </c>
      <c r="H119" s="90" t="s">
        <v>700</v>
      </c>
      <c r="I119" s="90" t="s">
        <v>64</v>
      </c>
      <c r="J119" s="87" t="s">
        <v>70</v>
      </c>
      <c r="K119" s="87" t="s">
        <v>324</v>
      </c>
      <c r="L119" s="90" t="s">
        <v>701</v>
      </c>
      <c r="M119" s="91" t="s">
        <v>702</v>
      </c>
      <c r="N119" s="90" t="s">
        <v>703</v>
      </c>
      <c r="O119" s="90" t="str">
        <f t="shared" si="7"/>
        <v>Bosa</v>
      </c>
      <c r="P119" s="87" t="s">
        <v>472</v>
      </c>
      <c r="Q119" s="87"/>
      <c r="R119" s="87"/>
      <c r="S119" s="87"/>
      <c r="T119" s="87"/>
      <c r="U119" s="87"/>
      <c r="V119" s="90" t="str">
        <f t="shared" si="8"/>
        <v>Suroccidente</v>
      </c>
      <c r="W119" s="87" t="s">
        <v>474</v>
      </c>
      <c r="X119" s="87"/>
      <c r="Y119" s="87"/>
      <c r="Z119" s="87"/>
      <c r="AA119" s="87"/>
      <c r="AB119" s="87"/>
      <c r="AC119" s="90" t="str">
        <f t="shared" si="9"/>
        <v>Bosa, Edén, Porvenir</v>
      </c>
      <c r="AD119" s="87" t="s">
        <v>472</v>
      </c>
      <c r="AE119" s="87" t="s">
        <v>704</v>
      </c>
      <c r="AF119" s="87" t="s">
        <v>705</v>
      </c>
      <c r="AG119" s="87"/>
      <c r="AH119" s="87"/>
      <c r="AI119" s="87"/>
      <c r="AJ119" s="87"/>
      <c r="AK119" s="87"/>
      <c r="AL119" s="87"/>
      <c r="AM119" s="87"/>
      <c r="AN119" s="90" t="s">
        <v>160</v>
      </c>
      <c r="AO119" s="94" t="s">
        <v>706</v>
      </c>
      <c r="AP119" s="82"/>
      <c r="AQ119" s="87" t="s">
        <v>59</v>
      </c>
      <c r="AR119" s="87" t="s">
        <v>80</v>
      </c>
      <c r="AS119" s="82"/>
      <c r="AT119" s="87">
        <v>22</v>
      </c>
      <c r="AU119" s="87">
        <v>1</v>
      </c>
      <c r="AV119" s="87">
        <f t="shared" si="5"/>
        <v>23</v>
      </c>
      <c r="AW119" s="87" t="str">
        <f t="shared" si="11"/>
        <v>No Aplica</v>
      </c>
      <c r="AX119" s="87" t="s">
        <v>78</v>
      </c>
      <c r="AY119" s="87"/>
      <c r="AZ119" s="87"/>
      <c r="BA119" s="91" t="s">
        <v>707</v>
      </c>
      <c r="BB119" s="84"/>
      <c r="BC119" s="85"/>
      <c r="BD119" s="85"/>
    </row>
    <row r="120" spans="1:56" s="86" customFormat="1" ht="46.5" customHeight="1">
      <c r="A120" s="78">
        <v>115</v>
      </c>
      <c r="B120" s="79" t="s">
        <v>320</v>
      </c>
      <c r="C120" s="88">
        <v>45365</v>
      </c>
      <c r="D120" s="89">
        <v>0.375</v>
      </c>
      <c r="E120" s="87" t="s">
        <v>93</v>
      </c>
      <c r="F120" s="87" t="s">
        <v>321</v>
      </c>
      <c r="G120" s="87" t="s">
        <v>95</v>
      </c>
      <c r="H120" s="90" t="s">
        <v>322</v>
      </c>
      <c r="I120" s="90" t="s">
        <v>64</v>
      </c>
      <c r="J120" s="87" t="s">
        <v>70</v>
      </c>
      <c r="K120" s="87" t="s">
        <v>324</v>
      </c>
      <c r="L120" s="90" t="s">
        <v>325</v>
      </c>
      <c r="M120" s="91">
        <v>3232073505</v>
      </c>
      <c r="N120" s="90" t="s">
        <v>72</v>
      </c>
      <c r="O120" s="90" t="str">
        <f t="shared" si="7"/>
        <v>Sumapaz</v>
      </c>
      <c r="P120" s="87" t="s">
        <v>327</v>
      </c>
      <c r="Q120" s="87"/>
      <c r="R120" s="87"/>
      <c r="S120" s="87"/>
      <c r="T120" s="87"/>
      <c r="U120" s="87"/>
      <c r="V120" s="90" t="str">
        <f t="shared" si="8"/>
        <v>Ruralidad</v>
      </c>
      <c r="W120" s="87" t="s">
        <v>109</v>
      </c>
      <c r="X120" s="87"/>
      <c r="Y120" s="87"/>
      <c r="Z120" s="87"/>
      <c r="AA120" s="87"/>
      <c r="AB120" s="87"/>
      <c r="AC120" s="90" t="str">
        <f t="shared" si="9"/>
        <v>Sumapaz</v>
      </c>
      <c r="AD120" s="87" t="s">
        <v>327</v>
      </c>
      <c r="AE120" s="87"/>
      <c r="AF120" s="87"/>
      <c r="AG120" s="87"/>
      <c r="AH120" s="87"/>
      <c r="AI120" s="87"/>
      <c r="AJ120" s="87"/>
      <c r="AK120" s="87"/>
      <c r="AL120" s="87"/>
      <c r="AM120" s="87"/>
      <c r="AN120" s="90" t="s">
        <v>160</v>
      </c>
      <c r="AO120" s="94" t="s">
        <v>708</v>
      </c>
      <c r="AP120" s="82"/>
      <c r="AQ120" s="87" t="s">
        <v>59</v>
      </c>
      <c r="AR120" s="87" t="s">
        <v>80</v>
      </c>
      <c r="AS120" s="82"/>
      <c r="AT120" s="87">
        <v>21</v>
      </c>
      <c r="AU120" s="87">
        <v>1</v>
      </c>
      <c r="AV120" s="87">
        <f t="shared" si="5"/>
        <v>22</v>
      </c>
      <c r="AW120" s="87" t="str">
        <f t="shared" si="11"/>
        <v>No Aplica</v>
      </c>
      <c r="AX120" s="87" t="s">
        <v>78</v>
      </c>
      <c r="AY120" s="87"/>
      <c r="AZ120" s="87"/>
      <c r="BA120" s="91" t="s">
        <v>709</v>
      </c>
      <c r="BB120" s="84"/>
      <c r="BC120" s="85"/>
      <c r="BD120" s="85"/>
    </row>
    <row r="121" spans="1:56" s="86" customFormat="1" ht="46.5" customHeight="1">
      <c r="A121" s="87">
        <v>116</v>
      </c>
      <c r="B121" s="79" t="s">
        <v>710</v>
      </c>
      <c r="C121" s="88">
        <v>45365</v>
      </c>
      <c r="D121" s="89">
        <v>0.375</v>
      </c>
      <c r="E121" s="87" t="s">
        <v>58</v>
      </c>
      <c r="F121" s="87" t="s">
        <v>61</v>
      </c>
      <c r="G121" s="87" t="s">
        <v>62</v>
      </c>
      <c r="H121" s="90" t="s">
        <v>711</v>
      </c>
      <c r="I121" s="90" t="s">
        <v>193</v>
      </c>
      <c r="J121" s="87" t="s">
        <v>173</v>
      </c>
      <c r="K121" s="87"/>
      <c r="L121" s="90" t="s">
        <v>712</v>
      </c>
      <c r="M121" s="91">
        <v>3103581233</v>
      </c>
      <c r="N121" s="90" t="s">
        <v>713</v>
      </c>
      <c r="O121" s="90" t="str">
        <f t="shared" si="7"/>
        <v>Teusaquillo</v>
      </c>
      <c r="P121" s="87" t="s">
        <v>665</v>
      </c>
      <c r="Q121" s="87"/>
      <c r="R121" s="87"/>
      <c r="S121" s="87"/>
      <c r="T121" s="87"/>
      <c r="U121" s="87"/>
      <c r="V121" s="90" t="str">
        <f t="shared" si="8"/>
        <v>Distrital</v>
      </c>
      <c r="W121" s="87" t="s">
        <v>73</v>
      </c>
      <c r="X121" s="87"/>
      <c r="Y121" s="87"/>
      <c r="Z121" s="87"/>
      <c r="AA121" s="87"/>
      <c r="AB121" s="87"/>
      <c r="AC121" s="90" t="str">
        <f t="shared" si="9"/>
        <v>Distrital</v>
      </c>
      <c r="AD121" s="87" t="s">
        <v>73</v>
      </c>
      <c r="AE121" s="87"/>
      <c r="AF121" s="87"/>
      <c r="AG121" s="87"/>
      <c r="AH121" s="87"/>
      <c r="AI121" s="87"/>
      <c r="AJ121" s="87"/>
      <c r="AK121" s="87"/>
      <c r="AL121" s="87"/>
      <c r="AM121" s="87"/>
      <c r="AN121" s="90" t="s">
        <v>160</v>
      </c>
      <c r="AO121" s="90" t="s">
        <v>714</v>
      </c>
      <c r="AP121" s="82"/>
      <c r="AQ121" s="87" t="s">
        <v>60</v>
      </c>
      <c r="AR121" s="87" t="s">
        <v>398</v>
      </c>
      <c r="AS121" s="82"/>
      <c r="AT121" s="87">
        <v>65</v>
      </c>
      <c r="AU121" s="87">
        <v>4</v>
      </c>
      <c r="AV121" s="87">
        <f t="shared" si="5"/>
        <v>69</v>
      </c>
      <c r="AW121" s="87" t="str">
        <f t="shared" si="11"/>
        <v>No Aplica</v>
      </c>
      <c r="AX121" s="87" t="s">
        <v>78</v>
      </c>
      <c r="AY121" s="87"/>
      <c r="AZ121" s="87"/>
      <c r="BA121" s="91" t="s">
        <v>715</v>
      </c>
      <c r="BB121" s="84"/>
      <c r="BC121" s="85"/>
      <c r="BD121" s="85"/>
    </row>
    <row r="122" spans="1:56" s="86" customFormat="1" ht="46.5" customHeight="1">
      <c r="A122" s="78">
        <v>117</v>
      </c>
      <c r="B122" s="79" t="s">
        <v>716</v>
      </c>
      <c r="C122" s="88">
        <v>45365</v>
      </c>
      <c r="D122" s="89">
        <v>0.375</v>
      </c>
      <c r="E122" s="87" t="s">
        <v>58</v>
      </c>
      <c r="F122" s="87" t="s">
        <v>61</v>
      </c>
      <c r="G122" s="87" t="s">
        <v>62</v>
      </c>
      <c r="H122" s="90" t="s">
        <v>717</v>
      </c>
      <c r="I122" s="90" t="s">
        <v>64</v>
      </c>
      <c r="J122" s="87" t="s">
        <v>70</v>
      </c>
      <c r="K122" s="87" t="s">
        <v>71</v>
      </c>
      <c r="L122" s="90" t="s">
        <v>72</v>
      </c>
      <c r="M122" s="90" t="s">
        <v>72</v>
      </c>
      <c r="N122" s="90" t="s">
        <v>72</v>
      </c>
      <c r="O122" s="90" t="str">
        <f t="shared" si="7"/>
        <v>Distrital</v>
      </c>
      <c r="P122" s="87" t="s">
        <v>73</v>
      </c>
      <c r="Q122" s="87"/>
      <c r="R122" s="87"/>
      <c r="S122" s="87"/>
      <c r="T122" s="87"/>
      <c r="U122" s="87"/>
      <c r="V122" s="90" t="str">
        <f t="shared" si="8"/>
        <v>Distrital</v>
      </c>
      <c r="W122" s="87" t="s">
        <v>73</v>
      </c>
      <c r="X122" s="87"/>
      <c r="Y122" s="87"/>
      <c r="Z122" s="87"/>
      <c r="AA122" s="87"/>
      <c r="AB122" s="87"/>
      <c r="AC122" s="90" t="str">
        <f t="shared" si="9"/>
        <v>Distrital</v>
      </c>
      <c r="AD122" s="87" t="s">
        <v>73</v>
      </c>
      <c r="AE122" s="87"/>
      <c r="AF122" s="87"/>
      <c r="AG122" s="87"/>
      <c r="AH122" s="87"/>
      <c r="AI122" s="87"/>
      <c r="AJ122" s="87"/>
      <c r="AK122" s="87"/>
      <c r="AL122" s="87"/>
      <c r="AM122" s="87"/>
      <c r="AN122" s="90" t="s">
        <v>160</v>
      </c>
      <c r="AO122" s="90" t="s">
        <v>718</v>
      </c>
      <c r="AP122" s="82"/>
      <c r="AQ122" s="87" t="s">
        <v>60</v>
      </c>
      <c r="AR122" s="87" t="s">
        <v>77</v>
      </c>
      <c r="AS122" s="82"/>
      <c r="AT122" s="87">
        <v>0</v>
      </c>
      <c r="AU122" s="87">
        <v>30</v>
      </c>
      <c r="AV122" s="87">
        <f t="shared" si="5"/>
        <v>30</v>
      </c>
      <c r="AW122" s="87" t="str">
        <f t="shared" si="11"/>
        <v>No Aplica</v>
      </c>
      <c r="AX122" s="87" t="s">
        <v>78</v>
      </c>
      <c r="AY122" s="87"/>
      <c r="AZ122" s="87"/>
      <c r="BA122" s="91" t="s">
        <v>719</v>
      </c>
      <c r="BB122" s="84"/>
      <c r="BC122" s="85"/>
      <c r="BD122" s="85"/>
    </row>
    <row r="123" spans="1:56" s="86" customFormat="1" ht="46.5" customHeight="1">
      <c r="A123" s="87">
        <v>118</v>
      </c>
      <c r="B123" s="79" t="s">
        <v>720</v>
      </c>
      <c r="C123" s="88">
        <v>45365</v>
      </c>
      <c r="D123" s="89">
        <v>0.375</v>
      </c>
      <c r="E123" s="87" t="s">
        <v>58</v>
      </c>
      <c r="F123" s="87" t="s">
        <v>61</v>
      </c>
      <c r="G123" s="87" t="s">
        <v>62</v>
      </c>
      <c r="H123" s="90" t="s">
        <v>721</v>
      </c>
      <c r="I123" s="90" t="s">
        <v>64</v>
      </c>
      <c r="J123" s="87" t="s">
        <v>173</v>
      </c>
      <c r="K123" s="87"/>
      <c r="L123" s="90" t="s">
        <v>593</v>
      </c>
      <c r="M123" s="91">
        <v>3159261429</v>
      </c>
      <c r="N123" s="90" t="s">
        <v>594</v>
      </c>
      <c r="O123" s="90" t="str">
        <f t="shared" si="7"/>
        <v>Distrital</v>
      </c>
      <c r="P123" s="87" t="s">
        <v>73</v>
      </c>
      <c r="Q123" s="87"/>
      <c r="R123" s="87"/>
      <c r="S123" s="87"/>
      <c r="T123" s="87"/>
      <c r="U123" s="87"/>
      <c r="V123" s="90" t="str">
        <f t="shared" si="8"/>
        <v>Distrital</v>
      </c>
      <c r="W123" s="87" t="s">
        <v>73</v>
      </c>
      <c r="X123" s="87"/>
      <c r="Y123" s="87"/>
      <c r="Z123" s="87"/>
      <c r="AA123" s="87"/>
      <c r="AB123" s="87"/>
      <c r="AC123" s="90" t="str">
        <f t="shared" si="9"/>
        <v>Distrital</v>
      </c>
      <c r="AD123" s="87" t="s">
        <v>73</v>
      </c>
      <c r="AE123" s="87"/>
      <c r="AF123" s="87"/>
      <c r="AG123" s="87"/>
      <c r="AH123" s="87"/>
      <c r="AI123" s="87"/>
      <c r="AJ123" s="87"/>
      <c r="AK123" s="87"/>
      <c r="AL123" s="87"/>
      <c r="AM123" s="87"/>
      <c r="AN123" s="90" t="s">
        <v>160</v>
      </c>
      <c r="AO123" s="90" t="s">
        <v>722</v>
      </c>
      <c r="AP123" s="82"/>
      <c r="AQ123" s="87" t="s">
        <v>60</v>
      </c>
      <c r="AR123" s="87" t="s">
        <v>77</v>
      </c>
      <c r="AS123" s="82"/>
      <c r="AT123" s="87">
        <v>8</v>
      </c>
      <c r="AU123" s="87">
        <v>4</v>
      </c>
      <c r="AV123" s="87">
        <f t="shared" si="5"/>
        <v>12</v>
      </c>
      <c r="AW123" s="87" t="str">
        <f t="shared" si="11"/>
        <v>No Aplica</v>
      </c>
      <c r="AX123" s="87" t="s">
        <v>78</v>
      </c>
      <c r="AY123" s="87"/>
      <c r="AZ123" s="87"/>
      <c r="BA123" s="91" t="s">
        <v>723</v>
      </c>
      <c r="BB123" s="84"/>
      <c r="BC123" s="85"/>
      <c r="BD123" s="85"/>
    </row>
    <row r="124" spans="1:56" s="86" customFormat="1" ht="46.5" customHeight="1">
      <c r="A124" s="78">
        <v>119</v>
      </c>
      <c r="B124" s="79" t="s">
        <v>724</v>
      </c>
      <c r="C124" s="88">
        <v>45365</v>
      </c>
      <c r="D124" s="89">
        <v>0.41666666666666669</v>
      </c>
      <c r="E124" s="87" t="s">
        <v>58</v>
      </c>
      <c r="F124" s="87" t="s">
        <v>61</v>
      </c>
      <c r="G124" s="87" t="s">
        <v>62</v>
      </c>
      <c r="H124" s="90" t="s">
        <v>725</v>
      </c>
      <c r="I124" s="90" t="s">
        <v>64</v>
      </c>
      <c r="J124" s="87" t="s">
        <v>70</v>
      </c>
      <c r="K124" s="87" t="s">
        <v>324</v>
      </c>
      <c r="L124" s="90" t="s">
        <v>72</v>
      </c>
      <c r="M124" s="90" t="s">
        <v>72</v>
      </c>
      <c r="N124" s="90" t="s">
        <v>72</v>
      </c>
      <c r="O124" s="90" t="str">
        <f t="shared" si="7"/>
        <v>Distrital</v>
      </c>
      <c r="P124" s="87" t="s">
        <v>73</v>
      </c>
      <c r="Q124" s="87"/>
      <c r="R124" s="87"/>
      <c r="S124" s="87"/>
      <c r="T124" s="87"/>
      <c r="U124" s="87"/>
      <c r="V124" s="90" t="str">
        <f t="shared" si="8"/>
        <v>Distrital</v>
      </c>
      <c r="W124" s="87" t="s">
        <v>73</v>
      </c>
      <c r="X124" s="87"/>
      <c r="Y124" s="87"/>
      <c r="Z124" s="87"/>
      <c r="AA124" s="87"/>
      <c r="AB124" s="87"/>
      <c r="AC124" s="90" t="str">
        <f t="shared" si="9"/>
        <v>Distrital</v>
      </c>
      <c r="AD124" s="87" t="s">
        <v>73</v>
      </c>
      <c r="AE124" s="87"/>
      <c r="AF124" s="87"/>
      <c r="AG124" s="87"/>
      <c r="AH124" s="87"/>
      <c r="AI124" s="87"/>
      <c r="AJ124" s="87"/>
      <c r="AK124" s="87"/>
      <c r="AL124" s="87"/>
      <c r="AM124" s="87"/>
      <c r="AN124" s="90" t="s">
        <v>160</v>
      </c>
      <c r="AO124" s="90" t="s">
        <v>402</v>
      </c>
      <c r="AP124" s="82"/>
      <c r="AQ124" s="87" t="s">
        <v>60</v>
      </c>
      <c r="AR124" s="87" t="s">
        <v>77</v>
      </c>
      <c r="AS124" s="82"/>
      <c r="AT124" s="87">
        <v>43</v>
      </c>
      <c r="AU124" s="87">
        <v>2</v>
      </c>
      <c r="AV124" s="87">
        <f t="shared" si="5"/>
        <v>45</v>
      </c>
      <c r="AW124" s="87" t="str">
        <f t="shared" si="11"/>
        <v>No Aplica</v>
      </c>
      <c r="AX124" s="87" t="s">
        <v>78</v>
      </c>
      <c r="AY124" s="87"/>
      <c r="AZ124" s="87"/>
      <c r="BA124" s="91" t="s">
        <v>726</v>
      </c>
      <c r="BB124" s="84"/>
      <c r="BC124" s="85"/>
      <c r="BD124" s="85"/>
    </row>
    <row r="125" spans="1:56" s="86" customFormat="1" ht="46.5" customHeight="1">
      <c r="A125" s="87">
        <v>120</v>
      </c>
      <c r="B125" s="79" t="s">
        <v>727</v>
      </c>
      <c r="C125" s="88">
        <v>45365</v>
      </c>
      <c r="D125" s="89">
        <v>0.66666666666666663</v>
      </c>
      <c r="E125" s="87" t="s">
        <v>58</v>
      </c>
      <c r="F125" s="87" t="s">
        <v>61</v>
      </c>
      <c r="G125" s="87" t="s">
        <v>95</v>
      </c>
      <c r="H125" s="90" t="s">
        <v>728</v>
      </c>
      <c r="I125" s="90" t="s">
        <v>64</v>
      </c>
      <c r="J125" s="87" t="s">
        <v>173</v>
      </c>
      <c r="K125" s="87"/>
      <c r="L125" s="90" t="s">
        <v>593</v>
      </c>
      <c r="M125" s="91">
        <v>3159261429</v>
      </c>
      <c r="N125" s="90" t="s">
        <v>594</v>
      </c>
      <c r="O125" s="90" t="str">
        <f t="shared" si="7"/>
        <v>Distrital</v>
      </c>
      <c r="P125" s="87" t="s">
        <v>73</v>
      </c>
      <c r="Q125" s="87"/>
      <c r="R125" s="87"/>
      <c r="S125" s="87"/>
      <c r="T125" s="87"/>
      <c r="U125" s="87"/>
      <c r="V125" s="90" t="str">
        <f t="shared" si="8"/>
        <v>Distrital</v>
      </c>
      <c r="W125" s="87" t="s">
        <v>73</v>
      </c>
      <c r="X125" s="87"/>
      <c r="Y125" s="87"/>
      <c r="Z125" s="87"/>
      <c r="AA125" s="87"/>
      <c r="AB125" s="87"/>
      <c r="AC125" s="90" t="str">
        <f t="shared" si="9"/>
        <v>Distrital</v>
      </c>
      <c r="AD125" s="87" t="s">
        <v>73</v>
      </c>
      <c r="AE125" s="87"/>
      <c r="AF125" s="87"/>
      <c r="AG125" s="87"/>
      <c r="AH125" s="87"/>
      <c r="AI125" s="87"/>
      <c r="AJ125" s="87"/>
      <c r="AK125" s="87"/>
      <c r="AL125" s="87"/>
      <c r="AM125" s="87"/>
      <c r="AN125" s="90" t="s">
        <v>160</v>
      </c>
      <c r="AO125" s="90" t="s">
        <v>647</v>
      </c>
      <c r="AP125" s="82"/>
      <c r="AQ125" s="87" t="s">
        <v>60</v>
      </c>
      <c r="AR125" s="87" t="s">
        <v>77</v>
      </c>
      <c r="AS125" s="82"/>
      <c r="AT125" s="87">
        <v>18</v>
      </c>
      <c r="AU125" s="87">
        <v>2</v>
      </c>
      <c r="AV125" s="87">
        <f t="shared" si="5"/>
        <v>20</v>
      </c>
      <c r="AW125" s="87" t="str">
        <f t="shared" si="11"/>
        <v>No Aplica</v>
      </c>
      <c r="AX125" s="87" t="s">
        <v>78</v>
      </c>
      <c r="AY125" s="87"/>
      <c r="AZ125" s="87"/>
      <c r="BA125" s="91" t="s">
        <v>729</v>
      </c>
      <c r="BB125" s="84"/>
      <c r="BC125" s="85"/>
      <c r="BD125" s="85"/>
    </row>
    <row r="126" spans="1:56" s="86" customFormat="1" ht="46.5" customHeight="1">
      <c r="A126" s="78">
        <v>121</v>
      </c>
      <c r="B126" s="79" t="s">
        <v>730</v>
      </c>
      <c r="C126" s="88">
        <v>45365</v>
      </c>
      <c r="D126" s="89">
        <v>0.66666666666666663</v>
      </c>
      <c r="E126" s="87" t="s">
        <v>58</v>
      </c>
      <c r="F126" s="87" t="s">
        <v>61</v>
      </c>
      <c r="G126" s="87" t="s">
        <v>62</v>
      </c>
      <c r="H126" s="90" t="s">
        <v>392</v>
      </c>
      <c r="I126" s="90" t="s">
        <v>172</v>
      </c>
      <c r="J126" s="87" t="s">
        <v>173</v>
      </c>
      <c r="K126" s="87"/>
      <c r="L126" s="90" t="s">
        <v>731</v>
      </c>
      <c r="M126" s="90" t="s">
        <v>72</v>
      </c>
      <c r="N126" s="90" t="s">
        <v>72</v>
      </c>
      <c r="O126" s="90" t="str">
        <f t="shared" si="7"/>
        <v>Engativá</v>
      </c>
      <c r="P126" s="87" t="s">
        <v>123</v>
      </c>
      <c r="Q126" s="87"/>
      <c r="R126" s="87"/>
      <c r="S126" s="87"/>
      <c r="T126" s="87"/>
      <c r="U126" s="87"/>
      <c r="V126" s="90" t="str">
        <f t="shared" si="8"/>
        <v>Occidente</v>
      </c>
      <c r="W126" s="87" t="s">
        <v>124</v>
      </c>
      <c r="X126" s="87"/>
      <c r="Y126" s="87"/>
      <c r="Z126" s="87"/>
      <c r="AA126" s="87"/>
      <c r="AB126" s="87"/>
      <c r="AC126" s="90" t="str">
        <f t="shared" si="9"/>
        <v>Engativá</v>
      </c>
      <c r="AD126" s="87" t="s">
        <v>123</v>
      </c>
      <c r="AE126" s="87"/>
      <c r="AF126" s="87"/>
      <c r="AG126" s="87"/>
      <c r="AH126" s="87"/>
      <c r="AI126" s="87"/>
      <c r="AJ126" s="87"/>
      <c r="AK126" s="87"/>
      <c r="AL126" s="87"/>
      <c r="AM126" s="87"/>
      <c r="AN126" s="90" t="s">
        <v>160</v>
      </c>
      <c r="AO126" s="90" t="s">
        <v>732</v>
      </c>
      <c r="AP126" s="82"/>
      <c r="AQ126" s="87" t="s">
        <v>60</v>
      </c>
      <c r="AR126" s="87" t="s">
        <v>398</v>
      </c>
      <c r="AS126" s="82"/>
      <c r="AT126" s="87">
        <v>50</v>
      </c>
      <c r="AU126" s="87">
        <v>15</v>
      </c>
      <c r="AV126" s="87">
        <f t="shared" si="5"/>
        <v>65</v>
      </c>
      <c r="AW126" s="87" t="str">
        <f t="shared" si="11"/>
        <v>Accesibilidad Universal</v>
      </c>
      <c r="AX126" s="87" t="s">
        <v>246</v>
      </c>
      <c r="AY126" s="87"/>
      <c r="AZ126" s="87"/>
      <c r="BA126" s="91" t="s">
        <v>61</v>
      </c>
      <c r="BB126" s="84"/>
      <c r="BC126" s="85"/>
      <c r="BD126" s="85"/>
    </row>
    <row r="127" spans="1:56" s="86" customFormat="1" ht="46.5" customHeight="1">
      <c r="A127" s="87">
        <v>122</v>
      </c>
      <c r="B127" s="79" t="s">
        <v>733</v>
      </c>
      <c r="C127" s="88">
        <v>45365</v>
      </c>
      <c r="D127" s="89">
        <v>0.75</v>
      </c>
      <c r="E127" s="87" t="s">
        <v>93</v>
      </c>
      <c r="F127" s="87" t="s">
        <v>102</v>
      </c>
      <c r="G127" s="87" t="s">
        <v>95</v>
      </c>
      <c r="H127" s="90" t="s">
        <v>734</v>
      </c>
      <c r="I127" s="90" t="s">
        <v>118</v>
      </c>
      <c r="J127" s="87" t="s">
        <v>119</v>
      </c>
      <c r="K127" s="87" t="s">
        <v>129</v>
      </c>
      <c r="L127" s="90" t="s">
        <v>735</v>
      </c>
      <c r="M127" s="91">
        <v>3178255261</v>
      </c>
      <c r="N127" s="90" t="s">
        <v>736</v>
      </c>
      <c r="O127" s="90" t="str">
        <f t="shared" si="7"/>
        <v>Distrital</v>
      </c>
      <c r="P127" s="87" t="s">
        <v>73</v>
      </c>
      <c r="Q127" s="87"/>
      <c r="R127" s="87"/>
      <c r="S127" s="87"/>
      <c r="T127" s="87"/>
      <c r="U127" s="87"/>
      <c r="V127" s="90" t="str">
        <f t="shared" si="8"/>
        <v>Distrital</v>
      </c>
      <c r="W127" s="87" t="s">
        <v>73</v>
      </c>
      <c r="X127" s="87"/>
      <c r="Y127" s="87"/>
      <c r="Z127" s="87"/>
      <c r="AA127" s="87"/>
      <c r="AB127" s="87"/>
      <c r="AC127" s="90" t="str">
        <f t="shared" si="9"/>
        <v>Distrital</v>
      </c>
      <c r="AD127" s="87" t="s">
        <v>73</v>
      </c>
      <c r="AE127" s="87"/>
      <c r="AF127" s="87"/>
      <c r="AG127" s="87"/>
      <c r="AH127" s="87"/>
      <c r="AI127" s="87"/>
      <c r="AJ127" s="87"/>
      <c r="AK127" s="87"/>
      <c r="AL127" s="87"/>
      <c r="AM127" s="87"/>
      <c r="AN127" s="90" t="s">
        <v>160</v>
      </c>
      <c r="AO127" s="92" t="s">
        <v>737</v>
      </c>
      <c r="AP127" s="82"/>
      <c r="AQ127" s="87" t="s">
        <v>59</v>
      </c>
      <c r="AR127" s="87" t="s">
        <v>80</v>
      </c>
      <c r="AS127" s="82"/>
      <c r="AT127" s="87">
        <v>14</v>
      </c>
      <c r="AU127" s="87">
        <v>1</v>
      </c>
      <c r="AV127" s="87">
        <f t="shared" si="5"/>
        <v>15</v>
      </c>
      <c r="AW127" s="87" t="str">
        <f t="shared" si="11"/>
        <v>No Aplica</v>
      </c>
      <c r="AX127" s="87" t="s">
        <v>78</v>
      </c>
      <c r="AY127" s="87"/>
      <c r="AZ127" s="87"/>
      <c r="BA127" s="91" t="s">
        <v>738</v>
      </c>
      <c r="BB127" s="84"/>
      <c r="BC127" s="85"/>
      <c r="BD127" s="85"/>
    </row>
    <row r="128" spans="1:56" s="86" customFormat="1" ht="46.5" customHeight="1">
      <c r="A128" s="78">
        <v>123</v>
      </c>
      <c r="B128" s="79" t="s">
        <v>739</v>
      </c>
      <c r="C128" s="88">
        <v>45366</v>
      </c>
      <c r="D128" s="89">
        <v>0.39583333333333331</v>
      </c>
      <c r="E128" s="87" t="s">
        <v>58</v>
      </c>
      <c r="F128" s="87" t="s">
        <v>61</v>
      </c>
      <c r="G128" s="87" t="s">
        <v>95</v>
      </c>
      <c r="H128" s="90" t="s">
        <v>375</v>
      </c>
      <c r="I128" s="90" t="s">
        <v>64</v>
      </c>
      <c r="J128" s="87" t="s">
        <v>70</v>
      </c>
      <c r="K128" s="87" t="s">
        <v>71</v>
      </c>
      <c r="L128" s="91" t="s">
        <v>380</v>
      </c>
      <c r="M128" s="91">
        <v>3143480013</v>
      </c>
      <c r="N128" s="91" t="s">
        <v>381</v>
      </c>
      <c r="O128" s="90" t="str">
        <f t="shared" si="7"/>
        <v>Distrital</v>
      </c>
      <c r="P128" s="87" t="s">
        <v>73</v>
      </c>
      <c r="Q128" s="87"/>
      <c r="R128" s="87"/>
      <c r="S128" s="87"/>
      <c r="T128" s="87"/>
      <c r="U128" s="87"/>
      <c r="V128" s="90" t="str">
        <f t="shared" si="8"/>
        <v>Distrital</v>
      </c>
      <c r="W128" s="87" t="s">
        <v>73</v>
      </c>
      <c r="X128" s="87"/>
      <c r="Y128" s="87"/>
      <c r="Z128" s="87"/>
      <c r="AA128" s="87"/>
      <c r="AB128" s="87"/>
      <c r="AC128" s="90" t="str">
        <f t="shared" si="9"/>
        <v>Distrital</v>
      </c>
      <c r="AD128" s="87" t="s">
        <v>73</v>
      </c>
      <c r="AE128" s="87"/>
      <c r="AF128" s="87"/>
      <c r="AG128" s="87"/>
      <c r="AH128" s="87"/>
      <c r="AI128" s="87"/>
      <c r="AJ128" s="87"/>
      <c r="AK128" s="87"/>
      <c r="AL128" s="87"/>
      <c r="AM128" s="87"/>
      <c r="AN128" s="90" t="s">
        <v>160</v>
      </c>
      <c r="AO128" s="92" t="s">
        <v>740</v>
      </c>
      <c r="AP128" s="82"/>
      <c r="AQ128" s="87" t="s">
        <v>60</v>
      </c>
      <c r="AR128" s="87" t="s">
        <v>77</v>
      </c>
      <c r="AS128" s="82"/>
      <c r="AT128" s="87">
        <v>34</v>
      </c>
      <c r="AU128" s="87">
        <v>1</v>
      </c>
      <c r="AV128" s="87">
        <f t="shared" si="5"/>
        <v>35</v>
      </c>
      <c r="AW128" s="87" t="str">
        <f t="shared" si="11"/>
        <v>No Aplica</v>
      </c>
      <c r="AX128" s="87" t="s">
        <v>78</v>
      </c>
      <c r="AY128" s="87"/>
      <c r="AZ128" s="87"/>
      <c r="BA128" s="91" t="s">
        <v>741</v>
      </c>
      <c r="BB128" s="84"/>
      <c r="BC128" s="85"/>
      <c r="BD128" s="85"/>
    </row>
    <row r="129" spans="1:56" s="86" customFormat="1" ht="46.5" customHeight="1">
      <c r="A129" s="87">
        <v>124</v>
      </c>
      <c r="B129" s="79" t="s">
        <v>742</v>
      </c>
      <c r="C129" s="88">
        <v>45366</v>
      </c>
      <c r="D129" s="89">
        <v>0.375</v>
      </c>
      <c r="E129" s="87" t="s">
        <v>93</v>
      </c>
      <c r="F129" s="87" t="s">
        <v>743</v>
      </c>
      <c r="G129" s="87" t="s">
        <v>62</v>
      </c>
      <c r="H129" s="90" t="s">
        <v>744</v>
      </c>
      <c r="I129" s="90" t="s">
        <v>64</v>
      </c>
      <c r="J129" s="87" t="s">
        <v>70</v>
      </c>
      <c r="K129" s="87" t="s">
        <v>71</v>
      </c>
      <c r="L129" s="90" t="s">
        <v>72</v>
      </c>
      <c r="M129" s="90" t="s">
        <v>72</v>
      </c>
      <c r="N129" s="90" t="s">
        <v>745</v>
      </c>
      <c r="O129" s="90" t="str">
        <f t="shared" si="7"/>
        <v>Distrital</v>
      </c>
      <c r="P129" s="87" t="s">
        <v>73</v>
      </c>
      <c r="Q129" s="87"/>
      <c r="R129" s="87"/>
      <c r="S129" s="87"/>
      <c r="T129" s="87"/>
      <c r="U129" s="87"/>
      <c r="V129" s="90" t="str">
        <f t="shared" si="8"/>
        <v>Distrital</v>
      </c>
      <c r="W129" s="87" t="s">
        <v>73</v>
      </c>
      <c r="X129" s="87"/>
      <c r="Y129" s="87"/>
      <c r="Z129" s="87"/>
      <c r="AA129" s="87"/>
      <c r="AB129" s="87"/>
      <c r="AC129" s="90" t="str">
        <f t="shared" si="9"/>
        <v>Distrital</v>
      </c>
      <c r="AD129" s="87" t="s">
        <v>73</v>
      </c>
      <c r="AE129" s="87"/>
      <c r="AF129" s="87"/>
      <c r="AG129" s="87"/>
      <c r="AH129" s="87"/>
      <c r="AI129" s="87"/>
      <c r="AJ129" s="87"/>
      <c r="AK129" s="87"/>
      <c r="AL129" s="87"/>
      <c r="AM129" s="87"/>
      <c r="AN129" s="90" t="s">
        <v>160</v>
      </c>
      <c r="AO129" s="90" t="s">
        <v>189</v>
      </c>
      <c r="AP129" s="82"/>
      <c r="AQ129" s="87" t="s">
        <v>60</v>
      </c>
      <c r="AR129" s="87" t="s">
        <v>77</v>
      </c>
      <c r="AS129" s="82"/>
      <c r="AT129" s="87">
        <v>50</v>
      </c>
      <c r="AU129" s="87">
        <v>1</v>
      </c>
      <c r="AV129" s="87">
        <f t="shared" si="5"/>
        <v>51</v>
      </c>
      <c r="AW129" s="87" t="str">
        <f t="shared" si="11"/>
        <v>No Aplica</v>
      </c>
      <c r="AX129" s="87" t="s">
        <v>78</v>
      </c>
      <c r="AY129" s="87"/>
      <c r="AZ129" s="87"/>
      <c r="BA129" s="91" t="s">
        <v>746</v>
      </c>
      <c r="BB129" s="84"/>
      <c r="BC129" s="85"/>
      <c r="BD129" s="85"/>
    </row>
    <row r="130" spans="1:56" s="86" customFormat="1" ht="46.5" customHeight="1">
      <c r="A130" s="78">
        <v>125</v>
      </c>
      <c r="B130" s="79" t="s">
        <v>747</v>
      </c>
      <c r="C130" s="88">
        <v>45366</v>
      </c>
      <c r="D130" s="89">
        <v>0.6875</v>
      </c>
      <c r="E130" s="87" t="s">
        <v>58</v>
      </c>
      <c r="F130" s="87" t="s">
        <v>61</v>
      </c>
      <c r="G130" s="87" t="s">
        <v>95</v>
      </c>
      <c r="H130" s="90" t="s">
        <v>748</v>
      </c>
      <c r="I130" s="90" t="s">
        <v>64</v>
      </c>
      <c r="J130" s="87" t="s">
        <v>173</v>
      </c>
      <c r="K130" s="87"/>
      <c r="L130" s="90" t="s">
        <v>593</v>
      </c>
      <c r="M130" s="91">
        <v>3159261429</v>
      </c>
      <c r="N130" s="90" t="s">
        <v>594</v>
      </c>
      <c r="O130" s="90" t="str">
        <f t="shared" si="7"/>
        <v>Distrital</v>
      </c>
      <c r="P130" s="87" t="s">
        <v>73</v>
      </c>
      <c r="Q130" s="87"/>
      <c r="R130" s="87"/>
      <c r="S130" s="87"/>
      <c r="T130" s="87"/>
      <c r="U130" s="87"/>
      <c r="V130" s="90" t="str">
        <f t="shared" si="8"/>
        <v>Distrital</v>
      </c>
      <c r="W130" s="87" t="s">
        <v>73</v>
      </c>
      <c r="X130" s="87"/>
      <c r="Y130" s="87"/>
      <c r="Z130" s="87"/>
      <c r="AA130" s="87"/>
      <c r="AB130" s="87"/>
      <c r="AC130" s="90" t="str">
        <f t="shared" si="9"/>
        <v>Distrital</v>
      </c>
      <c r="AD130" s="87" t="s">
        <v>73</v>
      </c>
      <c r="AE130" s="87"/>
      <c r="AF130" s="87"/>
      <c r="AG130" s="87"/>
      <c r="AH130" s="87"/>
      <c r="AI130" s="87"/>
      <c r="AJ130" s="87"/>
      <c r="AK130" s="87"/>
      <c r="AL130" s="87"/>
      <c r="AM130" s="87"/>
      <c r="AN130" s="90" t="s">
        <v>160</v>
      </c>
      <c r="AO130" s="90" t="s">
        <v>749</v>
      </c>
      <c r="AP130" s="82"/>
      <c r="AQ130" s="87" t="s">
        <v>60</v>
      </c>
      <c r="AR130" s="87" t="s">
        <v>77</v>
      </c>
      <c r="AS130" s="82"/>
      <c r="AT130" s="87">
        <v>14</v>
      </c>
      <c r="AU130" s="87">
        <v>4</v>
      </c>
      <c r="AV130" s="87">
        <f t="shared" si="5"/>
        <v>18</v>
      </c>
      <c r="AW130" s="87" t="str">
        <f t="shared" si="11"/>
        <v>No Aplica</v>
      </c>
      <c r="AX130" s="87" t="s">
        <v>78</v>
      </c>
      <c r="AY130" s="87"/>
      <c r="AZ130" s="87"/>
      <c r="BA130" s="91" t="s">
        <v>750</v>
      </c>
      <c r="BB130" s="84"/>
      <c r="BC130" s="85"/>
      <c r="BD130" s="85"/>
    </row>
    <row r="131" spans="1:56" s="86" customFormat="1" ht="46.5" customHeight="1">
      <c r="A131" s="87">
        <v>126</v>
      </c>
      <c r="B131" s="79" t="s">
        <v>751</v>
      </c>
      <c r="C131" s="88">
        <v>45366</v>
      </c>
      <c r="D131" s="89">
        <v>0.375</v>
      </c>
      <c r="E131" s="87" t="s">
        <v>58</v>
      </c>
      <c r="F131" s="87" t="s">
        <v>61</v>
      </c>
      <c r="G131" s="87" t="s">
        <v>62</v>
      </c>
      <c r="H131" s="90" t="s">
        <v>711</v>
      </c>
      <c r="I131" s="90" t="s">
        <v>193</v>
      </c>
      <c r="J131" s="87" t="s">
        <v>173</v>
      </c>
      <c r="K131" s="87"/>
      <c r="L131" s="90" t="s">
        <v>712</v>
      </c>
      <c r="M131" s="91">
        <v>3103581233</v>
      </c>
      <c r="N131" s="90" t="s">
        <v>713</v>
      </c>
      <c r="O131" s="90" t="str">
        <f t="shared" si="7"/>
        <v>Teusaquillo</v>
      </c>
      <c r="P131" s="87" t="s">
        <v>665</v>
      </c>
      <c r="Q131" s="87"/>
      <c r="R131" s="87"/>
      <c r="S131" s="87"/>
      <c r="T131" s="87"/>
      <c r="U131" s="87"/>
      <c r="V131" s="90" t="str">
        <f t="shared" si="8"/>
        <v>Distrital</v>
      </c>
      <c r="W131" s="87" t="s">
        <v>73</v>
      </c>
      <c r="X131" s="87"/>
      <c r="Y131" s="87"/>
      <c r="Z131" s="87"/>
      <c r="AA131" s="87"/>
      <c r="AB131" s="87"/>
      <c r="AC131" s="90" t="str">
        <f t="shared" si="9"/>
        <v>Distrital</v>
      </c>
      <c r="AD131" s="87" t="s">
        <v>73</v>
      </c>
      <c r="AE131" s="87"/>
      <c r="AF131" s="87"/>
      <c r="AG131" s="87"/>
      <c r="AH131" s="87"/>
      <c r="AI131" s="87"/>
      <c r="AJ131" s="87"/>
      <c r="AK131" s="87"/>
      <c r="AL131" s="87"/>
      <c r="AM131" s="87"/>
      <c r="AN131" s="90" t="s">
        <v>160</v>
      </c>
      <c r="AO131" s="90" t="s">
        <v>714</v>
      </c>
      <c r="AP131" s="82"/>
      <c r="AQ131" s="87" t="s">
        <v>60</v>
      </c>
      <c r="AR131" s="87" t="s">
        <v>398</v>
      </c>
      <c r="AS131" s="82"/>
      <c r="AT131" s="87">
        <v>50</v>
      </c>
      <c r="AU131" s="87">
        <v>3</v>
      </c>
      <c r="AV131" s="87">
        <f t="shared" si="5"/>
        <v>53</v>
      </c>
      <c r="AW131" s="87" t="str">
        <f t="shared" si="11"/>
        <v>No Aplica</v>
      </c>
      <c r="AX131" s="87" t="s">
        <v>78</v>
      </c>
      <c r="AY131" s="87"/>
      <c r="AZ131" s="87"/>
      <c r="BA131" s="91" t="s">
        <v>752</v>
      </c>
      <c r="BB131" s="84"/>
      <c r="BC131" s="85"/>
      <c r="BD131" s="85"/>
    </row>
    <row r="132" spans="1:56" s="86" customFormat="1" ht="46.5" customHeight="1">
      <c r="A132" s="78">
        <v>127</v>
      </c>
      <c r="B132" s="79" t="s">
        <v>753</v>
      </c>
      <c r="C132" s="88">
        <v>45366</v>
      </c>
      <c r="D132" s="89">
        <v>0.70833333333333337</v>
      </c>
      <c r="E132" s="87" t="s">
        <v>58</v>
      </c>
      <c r="F132" s="87" t="s">
        <v>61</v>
      </c>
      <c r="G132" s="87" t="s">
        <v>62</v>
      </c>
      <c r="H132" s="90" t="s">
        <v>754</v>
      </c>
      <c r="I132" s="90" t="s">
        <v>64</v>
      </c>
      <c r="J132" s="87" t="s">
        <v>173</v>
      </c>
      <c r="K132" s="87"/>
      <c r="L132" s="90" t="s">
        <v>593</v>
      </c>
      <c r="M132" s="91">
        <v>3159261429</v>
      </c>
      <c r="N132" s="90" t="s">
        <v>594</v>
      </c>
      <c r="O132" s="90" t="str">
        <f t="shared" si="7"/>
        <v>Distrital</v>
      </c>
      <c r="P132" s="87" t="s">
        <v>73</v>
      </c>
      <c r="Q132" s="87"/>
      <c r="R132" s="87"/>
      <c r="S132" s="87"/>
      <c r="T132" s="87"/>
      <c r="U132" s="87"/>
      <c r="V132" s="90" t="str">
        <f t="shared" si="8"/>
        <v>Distrital</v>
      </c>
      <c r="W132" s="87" t="s">
        <v>73</v>
      </c>
      <c r="X132" s="87"/>
      <c r="Y132" s="87"/>
      <c r="Z132" s="87"/>
      <c r="AA132" s="87"/>
      <c r="AB132" s="87"/>
      <c r="AC132" s="90" t="str">
        <f t="shared" si="9"/>
        <v>Distrital</v>
      </c>
      <c r="AD132" s="87" t="s">
        <v>73</v>
      </c>
      <c r="AE132" s="87"/>
      <c r="AF132" s="87"/>
      <c r="AG132" s="87"/>
      <c r="AH132" s="87"/>
      <c r="AI132" s="87"/>
      <c r="AJ132" s="87"/>
      <c r="AK132" s="87"/>
      <c r="AL132" s="87"/>
      <c r="AM132" s="87"/>
      <c r="AN132" s="90" t="s">
        <v>160</v>
      </c>
      <c r="AO132" s="90" t="s">
        <v>647</v>
      </c>
      <c r="AP132" s="82"/>
      <c r="AQ132" s="87" t="s">
        <v>60</v>
      </c>
      <c r="AR132" s="87" t="s">
        <v>77</v>
      </c>
      <c r="AS132" s="82"/>
      <c r="AT132" s="87">
        <v>24</v>
      </c>
      <c r="AU132" s="87">
        <v>2</v>
      </c>
      <c r="AV132" s="87">
        <f t="shared" si="5"/>
        <v>26</v>
      </c>
      <c r="AW132" s="87" t="str">
        <f t="shared" si="11"/>
        <v>No Aplica</v>
      </c>
      <c r="AX132" s="87" t="s">
        <v>78</v>
      </c>
      <c r="AY132" s="87"/>
      <c r="AZ132" s="87"/>
      <c r="BA132" s="91" t="s">
        <v>755</v>
      </c>
      <c r="BB132" s="84"/>
      <c r="BC132" s="85"/>
      <c r="BD132" s="85"/>
    </row>
    <row r="133" spans="1:56" s="86" customFormat="1" ht="46.5" customHeight="1">
      <c r="A133" s="87">
        <v>128</v>
      </c>
      <c r="B133" s="79" t="s">
        <v>756</v>
      </c>
      <c r="C133" s="88">
        <v>45366</v>
      </c>
      <c r="D133" s="89">
        <v>0.70833333333333337</v>
      </c>
      <c r="E133" s="87" t="s">
        <v>93</v>
      </c>
      <c r="F133" s="87" t="s">
        <v>102</v>
      </c>
      <c r="G133" s="87" t="s">
        <v>95</v>
      </c>
      <c r="H133" s="90" t="s">
        <v>757</v>
      </c>
      <c r="I133" s="90" t="s">
        <v>118</v>
      </c>
      <c r="J133" s="87" t="s">
        <v>119</v>
      </c>
      <c r="K133" s="87" t="s">
        <v>129</v>
      </c>
      <c r="L133" s="90" t="s">
        <v>407</v>
      </c>
      <c r="M133" s="91">
        <v>3188799909</v>
      </c>
      <c r="N133" s="90" t="s">
        <v>552</v>
      </c>
      <c r="O133" s="90" t="str">
        <f t="shared" si="7"/>
        <v>Distrital</v>
      </c>
      <c r="P133" s="87" t="s">
        <v>73</v>
      </c>
      <c r="Q133" s="87"/>
      <c r="R133" s="87"/>
      <c r="S133" s="87"/>
      <c r="T133" s="87"/>
      <c r="U133" s="87"/>
      <c r="V133" s="90" t="str">
        <f t="shared" si="8"/>
        <v>Distrital</v>
      </c>
      <c r="W133" s="87" t="s">
        <v>73</v>
      </c>
      <c r="X133" s="87"/>
      <c r="Y133" s="87"/>
      <c r="Z133" s="87"/>
      <c r="AA133" s="87"/>
      <c r="AB133" s="87"/>
      <c r="AC133" s="90" t="str">
        <f t="shared" si="9"/>
        <v>Distrital</v>
      </c>
      <c r="AD133" s="87" t="s">
        <v>73</v>
      </c>
      <c r="AE133" s="87"/>
      <c r="AF133" s="87"/>
      <c r="AG133" s="87"/>
      <c r="AH133" s="87"/>
      <c r="AI133" s="87"/>
      <c r="AJ133" s="87"/>
      <c r="AK133" s="87"/>
      <c r="AL133" s="87"/>
      <c r="AM133" s="87"/>
      <c r="AN133" s="90" t="s">
        <v>160</v>
      </c>
      <c r="AO133" s="92" t="s">
        <v>758</v>
      </c>
      <c r="AP133" s="82"/>
      <c r="AQ133" s="87" t="s">
        <v>59</v>
      </c>
      <c r="AR133" s="87" t="s">
        <v>80</v>
      </c>
      <c r="AS133" s="82"/>
      <c r="AT133" s="87">
        <v>62</v>
      </c>
      <c r="AU133" s="87">
        <v>1</v>
      </c>
      <c r="AV133" s="87">
        <f t="shared" si="5"/>
        <v>63</v>
      </c>
      <c r="AW133" s="87" t="str">
        <f t="shared" si="11"/>
        <v>No Aplica</v>
      </c>
      <c r="AX133" s="87" t="s">
        <v>78</v>
      </c>
      <c r="AY133" s="87"/>
      <c r="AZ133" s="87"/>
      <c r="BA133" s="91" t="s">
        <v>759</v>
      </c>
      <c r="BB133" s="84"/>
      <c r="BC133" s="85"/>
      <c r="BD133" s="85"/>
    </row>
    <row r="134" spans="1:56" s="86" customFormat="1" ht="46.5" customHeight="1">
      <c r="A134" s="78">
        <v>129</v>
      </c>
      <c r="B134" s="79" t="s">
        <v>760</v>
      </c>
      <c r="C134" s="88">
        <v>45367</v>
      </c>
      <c r="D134" s="89">
        <v>0.35416666666666669</v>
      </c>
      <c r="E134" s="87" t="s">
        <v>562</v>
      </c>
      <c r="F134" s="87" t="s">
        <v>61</v>
      </c>
      <c r="G134" s="87" t="s">
        <v>62</v>
      </c>
      <c r="H134" s="90" t="s">
        <v>761</v>
      </c>
      <c r="I134" s="90" t="s">
        <v>128</v>
      </c>
      <c r="J134" s="87" t="s">
        <v>119</v>
      </c>
      <c r="K134" s="87" t="s">
        <v>610</v>
      </c>
      <c r="L134" s="90" t="s">
        <v>762</v>
      </c>
      <c r="M134" s="91">
        <v>3112391335</v>
      </c>
      <c r="N134" s="90" t="s">
        <v>763</v>
      </c>
      <c r="O134" s="90" t="str">
        <f t="shared" ref="O134:O197" si="12">_xlfn.TEXTJOIN(", ",TRUE,$P134:$T134)</f>
        <v>Distrital</v>
      </c>
      <c r="P134" s="87" t="s">
        <v>73</v>
      </c>
      <c r="Q134" s="87"/>
      <c r="R134" s="87"/>
      <c r="S134" s="87"/>
      <c r="T134" s="87"/>
      <c r="U134" s="87"/>
      <c r="V134" s="90" t="str">
        <f t="shared" ref="V134:V197" si="13">_xlfn.TEXTJOIN(", ",TRUE,$W134:$AB134)</f>
        <v>Distrital</v>
      </c>
      <c r="W134" s="87" t="s">
        <v>73</v>
      </c>
      <c r="X134" s="87"/>
      <c r="Y134" s="87"/>
      <c r="Z134" s="87"/>
      <c r="AA134" s="87"/>
      <c r="AB134" s="87"/>
      <c r="AC134" s="90" t="str">
        <f t="shared" ref="AC134:AC197" si="14">_xlfn.TEXTJOIN(", ",TRUE,$AD134:$AM134)</f>
        <v>Distrital</v>
      </c>
      <c r="AD134" s="87" t="s">
        <v>73</v>
      </c>
      <c r="AE134" s="87"/>
      <c r="AF134" s="87"/>
      <c r="AG134" s="87"/>
      <c r="AH134" s="87"/>
      <c r="AI134" s="87"/>
      <c r="AJ134" s="87"/>
      <c r="AK134" s="87"/>
      <c r="AL134" s="87"/>
      <c r="AM134" s="87"/>
      <c r="AN134" s="90" t="s">
        <v>160</v>
      </c>
      <c r="AO134" s="90" t="s">
        <v>764</v>
      </c>
      <c r="AP134" s="82"/>
      <c r="AQ134" s="87" t="s">
        <v>60</v>
      </c>
      <c r="AR134" s="87" t="s">
        <v>398</v>
      </c>
      <c r="AS134" s="82"/>
      <c r="AT134" s="87">
        <v>25</v>
      </c>
      <c r="AU134" s="87">
        <v>13</v>
      </c>
      <c r="AV134" s="87">
        <f t="shared" ref="AV134" si="15">AT134+AU134</f>
        <v>38</v>
      </c>
      <c r="AW134" s="87" t="str">
        <f t="shared" ref="AW134" si="16">_xlfn.TEXTJOIN(", ",TRUE,$AX134:$AZ134)</f>
        <v>Lenguaje de señas</v>
      </c>
      <c r="AX134" s="87" t="s">
        <v>211</v>
      </c>
      <c r="AY134" s="87"/>
      <c r="AZ134" s="87"/>
      <c r="BA134" s="91" t="s">
        <v>765</v>
      </c>
      <c r="BB134" s="84"/>
      <c r="BC134" s="85"/>
      <c r="BD134" s="85"/>
    </row>
    <row r="135" spans="1:56" s="86" customFormat="1" ht="46.5" customHeight="1">
      <c r="A135" s="87">
        <v>130</v>
      </c>
      <c r="B135" s="79" t="s">
        <v>766</v>
      </c>
      <c r="C135" s="88">
        <v>45367</v>
      </c>
      <c r="D135" s="89">
        <v>0.375</v>
      </c>
      <c r="E135" s="87" t="s">
        <v>58</v>
      </c>
      <c r="F135" s="87" t="s">
        <v>61</v>
      </c>
      <c r="G135" s="87" t="s">
        <v>62</v>
      </c>
      <c r="H135" s="90" t="s">
        <v>392</v>
      </c>
      <c r="I135" s="90" t="s">
        <v>172</v>
      </c>
      <c r="J135" s="87" t="s">
        <v>173</v>
      </c>
      <c r="K135" s="87"/>
      <c r="L135" s="90" t="s">
        <v>72</v>
      </c>
      <c r="M135" s="90" t="s">
        <v>72</v>
      </c>
      <c r="N135" s="90" t="s">
        <v>72</v>
      </c>
      <c r="O135" s="90" t="str">
        <f t="shared" si="12"/>
        <v>Kennedy</v>
      </c>
      <c r="P135" s="87" t="s">
        <v>473</v>
      </c>
      <c r="Q135" s="87"/>
      <c r="R135" s="87"/>
      <c r="S135" s="87"/>
      <c r="T135" s="87"/>
      <c r="U135" s="87"/>
      <c r="V135" s="90" t="str">
        <f t="shared" si="13"/>
        <v>Suroccidente</v>
      </c>
      <c r="W135" s="87" t="s">
        <v>474</v>
      </c>
      <c r="X135" s="87"/>
      <c r="Y135" s="87"/>
      <c r="Z135" s="87"/>
      <c r="AA135" s="87"/>
      <c r="AB135" s="87"/>
      <c r="AC135" s="90" t="str">
        <f t="shared" si="14"/>
        <v>Kennedy</v>
      </c>
      <c r="AD135" s="87" t="s">
        <v>473</v>
      </c>
      <c r="AE135" s="87"/>
      <c r="AF135" s="87"/>
      <c r="AG135" s="87"/>
      <c r="AH135" s="87"/>
      <c r="AI135" s="87"/>
      <c r="AJ135" s="87"/>
      <c r="AK135" s="87"/>
      <c r="AL135" s="87"/>
      <c r="AM135" s="87"/>
      <c r="AN135" s="90" t="s">
        <v>160</v>
      </c>
      <c r="AO135" s="90" t="s">
        <v>767</v>
      </c>
      <c r="AP135" s="82"/>
      <c r="AQ135" s="87" t="s">
        <v>60</v>
      </c>
      <c r="AR135" s="87" t="s">
        <v>398</v>
      </c>
      <c r="AS135" s="82"/>
      <c r="AT135" s="87">
        <v>61</v>
      </c>
      <c r="AU135" s="87">
        <v>18</v>
      </c>
      <c r="AV135" s="87">
        <f t="shared" si="5"/>
        <v>79</v>
      </c>
      <c r="AW135" s="87" t="str">
        <f t="shared" ref="AW135:AW154" si="17">_xlfn.TEXTJOIN(", ",TRUE,$AX135:$AZ135)</f>
        <v>Ninguna</v>
      </c>
      <c r="AX135" s="87" t="s">
        <v>75</v>
      </c>
      <c r="AY135" s="87"/>
      <c r="AZ135" s="87"/>
      <c r="BA135" s="91" t="s">
        <v>768</v>
      </c>
      <c r="BB135" s="84"/>
      <c r="BC135" s="85"/>
      <c r="BD135" s="85"/>
    </row>
    <row r="136" spans="1:56" s="86" customFormat="1" ht="46.5" customHeight="1">
      <c r="A136" s="78">
        <v>131</v>
      </c>
      <c r="B136" s="79" t="s">
        <v>769</v>
      </c>
      <c r="C136" s="88">
        <v>45367</v>
      </c>
      <c r="D136" s="89">
        <v>0.41666666666666669</v>
      </c>
      <c r="E136" s="87" t="s">
        <v>58</v>
      </c>
      <c r="F136" s="87" t="s">
        <v>61</v>
      </c>
      <c r="G136" s="87" t="s">
        <v>62</v>
      </c>
      <c r="H136" s="90" t="s">
        <v>392</v>
      </c>
      <c r="I136" s="90" t="s">
        <v>172</v>
      </c>
      <c r="J136" s="87" t="s">
        <v>173</v>
      </c>
      <c r="K136" s="87"/>
      <c r="L136" s="90" t="s">
        <v>72</v>
      </c>
      <c r="M136" s="90" t="s">
        <v>72</v>
      </c>
      <c r="N136" s="90" t="s">
        <v>72</v>
      </c>
      <c r="O136" s="90" t="str">
        <f t="shared" si="12"/>
        <v>Chapinero, Santa Fe</v>
      </c>
      <c r="P136" s="87" t="s">
        <v>221</v>
      </c>
      <c r="Q136" s="87" t="s">
        <v>541</v>
      </c>
      <c r="R136" s="87"/>
      <c r="S136" s="87"/>
      <c r="T136" s="87"/>
      <c r="U136" s="87"/>
      <c r="V136" s="90" t="str">
        <f t="shared" si="13"/>
        <v>Ruralidad</v>
      </c>
      <c r="W136" s="87" t="s">
        <v>109</v>
      </c>
      <c r="X136" s="87"/>
      <c r="Y136" s="87"/>
      <c r="Z136" s="87"/>
      <c r="AA136" s="87"/>
      <c r="AB136" s="87"/>
      <c r="AC136" s="90" t="str">
        <f t="shared" si="14"/>
        <v>Cerros Orientales</v>
      </c>
      <c r="AD136" s="87" t="s">
        <v>222</v>
      </c>
      <c r="AE136" s="87"/>
      <c r="AF136" s="87"/>
      <c r="AG136" s="87"/>
      <c r="AH136" s="87"/>
      <c r="AI136" s="87"/>
      <c r="AJ136" s="87"/>
      <c r="AK136" s="87"/>
      <c r="AL136" s="87"/>
      <c r="AM136" s="87"/>
      <c r="AN136" s="90" t="s">
        <v>160</v>
      </c>
      <c r="AO136" s="90" t="s">
        <v>770</v>
      </c>
      <c r="AP136" s="82"/>
      <c r="AQ136" s="87" t="s">
        <v>60</v>
      </c>
      <c r="AR136" s="87" t="s">
        <v>398</v>
      </c>
      <c r="AS136" s="82"/>
      <c r="AT136" s="87">
        <v>64</v>
      </c>
      <c r="AU136" s="87">
        <v>11</v>
      </c>
      <c r="AV136" s="87">
        <f t="shared" si="5"/>
        <v>75</v>
      </c>
      <c r="AW136" s="87" t="str">
        <f t="shared" si="17"/>
        <v>Ninguna</v>
      </c>
      <c r="AX136" s="87" t="s">
        <v>75</v>
      </c>
      <c r="AY136" s="87"/>
      <c r="AZ136" s="87"/>
      <c r="BA136" s="91" t="s">
        <v>771</v>
      </c>
      <c r="BB136" s="84"/>
      <c r="BC136" s="85"/>
      <c r="BD136" s="85"/>
    </row>
    <row r="137" spans="1:56" s="86" customFormat="1" ht="46.5" customHeight="1">
      <c r="A137" s="87">
        <v>132</v>
      </c>
      <c r="B137" s="79" t="s">
        <v>772</v>
      </c>
      <c r="C137" s="88">
        <v>45367</v>
      </c>
      <c r="D137" s="89">
        <v>0.60416666666666663</v>
      </c>
      <c r="E137" s="87" t="s">
        <v>58</v>
      </c>
      <c r="F137" s="87" t="s">
        <v>61</v>
      </c>
      <c r="G137" s="87" t="s">
        <v>62</v>
      </c>
      <c r="H137" s="90" t="s">
        <v>392</v>
      </c>
      <c r="I137" s="90" t="s">
        <v>172</v>
      </c>
      <c r="J137" s="87" t="s">
        <v>173</v>
      </c>
      <c r="K137" s="87"/>
      <c r="L137" s="90" t="s">
        <v>72</v>
      </c>
      <c r="M137" s="90" t="s">
        <v>72</v>
      </c>
      <c r="N137" s="90" t="s">
        <v>72</v>
      </c>
      <c r="O137" s="90" t="str">
        <f t="shared" si="12"/>
        <v>Chapinero, Santa Fe</v>
      </c>
      <c r="P137" s="87" t="s">
        <v>221</v>
      </c>
      <c r="Q137" s="87" t="s">
        <v>541</v>
      </c>
      <c r="R137" s="87"/>
      <c r="S137" s="87"/>
      <c r="T137" s="87"/>
      <c r="U137" s="87"/>
      <c r="V137" s="90" t="str">
        <f t="shared" si="13"/>
        <v>Ruralidad</v>
      </c>
      <c r="W137" s="87" t="s">
        <v>109</v>
      </c>
      <c r="X137" s="87"/>
      <c r="Y137" s="87"/>
      <c r="Z137" s="87"/>
      <c r="AA137" s="87"/>
      <c r="AB137" s="87"/>
      <c r="AC137" s="90" t="str">
        <f t="shared" si="14"/>
        <v>Cerros Orientales</v>
      </c>
      <c r="AD137" s="87" t="s">
        <v>222</v>
      </c>
      <c r="AE137" s="87"/>
      <c r="AF137" s="87"/>
      <c r="AG137" s="87"/>
      <c r="AH137" s="87"/>
      <c r="AI137" s="87"/>
      <c r="AJ137" s="87"/>
      <c r="AK137" s="87"/>
      <c r="AL137" s="87"/>
      <c r="AM137" s="87"/>
      <c r="AN137" s="90" t="s">
        <v>160</v>
      </c>
      <c r="AO137" s="90" t="s">
        <v>773</v>
      </c>
      <c r="AP137" s="82"/>
      <c r="AQ137" s="87" t="s">
        <v>60</v>
      </c>
      <c r="AR137" s="87" t="s">
        <v>398</v>
      </c>
      <c r="AS137" s="82"/>
      <c r="AT137" s="87">
        <v>23</v>
      </c>
      <c r="AU137" s="87">
        <v>7</v>
      </c>
      <c r="AV137" s="87">
        <f t="shared" si="5"/>
        <v>30</v>
      </c>
      <c r="AW137" s="87" t="str">
        <f t="shared" si="17"/>
        <v>Ninguna</v>
      </c>
      <c r="AX137" s="87" t="s">
        <v>75</v>
      </c>
      <c r="AY137" s="87"/>
      <c r="AZ137" s="87"/>
      <c r="BA137" s="91" t="s">
        <v>771</v>
      </c>
      <c r="BB137" s="84"/>
      <c r="BC137" s="85"/>
      <c r="BD137" s="85"/>
    </row>
    <row r="138" spans="1:56" s="86" customFormat="1" ht="46.5" customHeight="1">
      <c r="A138" s="78">
        <v>133</v>
      </c>
      <c r="B138" s="79" t="s">
        <v>774</v>
      </c>
      <c r="C138" s="88">
        <v>45367</v>
      </c>
      <c r="D138" s="89">
        <v>0.54166666666666663</v>
      </c>
      <c r="E138" s="87" t="s">
        <v>58</v>
      </c>
      <c r="F138" s="87" t="s">
        <v>61</v>
      </c>
      <c r="G138" s="87" t="s">
        <v>62</v>
      </c>
      <c r="H138" s="90" t="s">
        <v>392</v>
      </c>
      <c r="I138" s="90" t="s">
        <v>193</v>
      </c>
      <c r="J138" s="87" t="s">
        <v>173</v>
      </c>
      <c r="K138" s="87"/>
      <c r="L138" s="90" t="s">
        <v>72</v>
      </c>
      <c r="M138" s="90" t="s">
        <v>72</v>
      </c>
      <c r="N138" s="90" t="s">
        <v>72</v>
      </c>
      <c r="O138" s="90" t="str">
        <f t="shared" si="12"/>
        <v>Usaquén</v>
      </c>
      <c r="P138" s="87" t="s">
        <v>428</v>
      </c>
      <c r="Q138" s="87"/>
      <c r="R138" s="87"/>
      <c r="S138" s="87"/>
      <c r="T138" s="87"/>
      <c r="U138" s="87"/>
      <c r="V138" s="90" t="str">
        <f t="shared" si="13"/>
        <v>Distrital</v>
      </c>
      <c r="W138" s="87" t="s">
        <v>73</v>
      </c>
      <c r="X138" s="87"/>
      <c r="Y138" s="87"/>
      <c r="Z138" s="87"/>
      <c r="AA138" s="87"/>
      <c r="AB138" s="87"/>
      <c r="AC138" s="90" t="str">
        <f t="shared" si="14"/>
        <v>Distrital</v>
      </c>
      <c r="AD138" s="87" t="s">
        <v>73</v>
      </c>
      <c r="AE138" s="87"/>
      <c r="AF138" s="87"/>
      <c r="AG138" s="87"/>
      <c r="AH138" s="87"/>
      <c r="AI138" s="87"/>
      <c r="AJ138" s="87"/>
      <c r="AK138" s="87"/>
      <c r="AL138" s="87"/>
      <c r="AM138" s="87"/>
      <c r="AN138" s="90" t="s">
        <v>160</v>
      </c>
      <c r="AO138" s="90" t="s">
        <v>775</v>
      </c>
      <c r="AP138" s="82"/>
      <c r="AQ138" s="87" t="s">
        <v>60</v>
      </c>
      <c r="AR138" s="87" t="s">
        <v>398</v>
      </c>
      <c r="AS138" s="82"/>
      <c r="AT138" s="87">
        <v>55</v>
      </c>
      <c r="AU138" s="87">
        <v>5</v>
      </c>
      <c r="AV138" s="87">
        <f t="shared" si="5"/>
        <v>60</v>
      </c>
      <c r="AW138" s="87" t="str">
        <f t="shared" si="17"/>
        <v>No Aplica</v>
      </c>
      <c r="AX138" s="87" t="s">
        <v>78</v>
      </c>
      <c r="AY138" s="87"/>
      <c r="AZ138" s="87"/>
      <c r="BA138" s="91" t="s">
        <v>776</v>
      </c>
      <c r="BB138" s="84"/>
      <c r="BC138" s="85"/>
      <c r="BD138" s="85"/>
    </row>
    <row r="139" spans="1:56" s="86" customFormat="1" ht="46.5" customHeight="1">
      <c r="A139" s="87">
        <v>134</v>
      </c>
      <c r="B139" s="79" t="s">
        <v>777</v>
      </c>
      <c r="C139" s="88">
        <v>45368</v>
      </c>
      <c r="D139" s="89">
        <v>0.33333333333333331</v>
      </c>
      <c r="E139" s="87" t="s">
        <v>58</v>
      </c>
      <c r="F139" s="87" t="s">
        <v>61</v>
      </c>
      <c r="G139" s="87" t="s">
        <v>62</v>
      </c>
      <c r="H139" s="90" t="s">
        <v>392</v>
      </c>
      <c r="I139" s="90" t="s">
        <v>193</v>
      </c>
      <c r="J139" s="87" t="s">
        <v>173</v>
      </c>
      <c r="K139" s="87"/>
      <c r="L139" s="91" t="s">
        <v>72</v>
      </c>
      <c r="M139" s="91" t="s">
        <v>72</v>
      </c>
      <c r="N139" s="91" t="s">
        <v>72</v>
      </c>
      <c r="O139" s="90" t="str">
        <f t="shared" si="12"/>
        <v>Teusaquillo</v>
      </c>
      <c r="P139" s="87" t="s">
        <v>665</v>
      </c>
      <c r="Q139" s="87"/>
      <c r="R139" s="87"/>
      <c r="S139" s="87"/>
      <c r="T139" s="87"/>
      <c r="U139" s="87"/>
      <c r="V139" s="90" t="str">
        <f t="shared" si="13"/>
        <v>Centro Ampliado</v>
      </c>
      <c r="W139" s="87" t="s">
        <v>415</v>
      </c>
      <c r="X139" s="87"/>
      <c r="Y139" s="87"/>
      <c r="Z139" s="87"/>
      <c r="AA139" s="87"/>
      <c r="AB139" s="87"/>
      <c r="AC139" s="90" t="str">
        <f t="shared" si="14"/>
        <v>Teusaquillo</v>
      </c>
      <c r="AD139" s="87" t="s">
        <v>665</v>
      </c>
      <c r="AE139" s="87"/>
      <c r="AF139" s="87"/>
      <c r="AG139" s="87"/>
      <c r="AH139" s="87"/>
      <c r="AI139" s="87"/>
      <c r="AJ139" s="87"/>
      <c r="AK139" s="87"/>
      <c r="AL139" s="87"/>
      <c r="AM139" s="87"/>
      <c r="AN139" s="90" t="s">
        <v>160</v>
      </c>
      <c r="AO139" s="90" t="s">
        <v>778</v>
      </c>
      <c r="AP139" s="82"/>
      <c r="AQ139" s="87" t="s">
        <v>60</v>
      </c>
      <c r="AR139" s="87" t="s">
        <v>398</v>
      </c>
      <c r="AS139" s="82"/>
      <c r="AT139" s="87">
        <v>219</v>
      </c>
      <c r="AU139" s="87">
        <v>18</v>
      </c>
      <c r="AV139" s="87">
        <f t="shared" si="5"/>
        <v>237</v>
      </c>
      <c r="AW139" s="87" t="str">
        <f t="shared" si="17"/>
        <v>No Aplica</v>
      </c>
      <c r="AX139" s="87" t="s">
        <v>78</v>
      </c>
      <c r="AY139" s="87"/>
      <c r="AZ139" s="87"/>
      <c r="BA139" s="91" t="s">
        <v>779</v>
      </c>
      <c r="BB139" s="84"/>
      <c r="BC139" s="85"/>
      <c r="BD139" s="85"/>
    </row>
    <row r="140" spans="1:56" s="86" customFormat="1" ht="46.5" customHeight="1">
      <c r="A140" s="78">
        <v>135</v>
      </c>
      <c r="B140" s="79" t="s">
        <v>780</v>
      </c>
      <c r="C140" s="88">
        <v>45368</v>
      </c>
      <c r="D140" s="89">
        <v>0.41666666666666669</v>
      </c>
      <c r="E140" s="87" t="s">
        <v>58</v>
      </c>
      <c r="F140" s="87" t="s">
        <v>61</v>
      </c>
      <c r="G140" s="87" t="s">
        <v>62</v>
      </c>
      <c r="H140" s="90" t="s">
        <v>392</v>
      </c>
      <c r="I140" s="90" t="s">
        <v>193</v>
      </c>
      <c r="J140" s="87" t="s">
        <v>173</v>
      </c>
      <c r="K140" s="87"/>
      <c r="L140" s="90" t="s">
        <v>72</v>
      </c>
      <c r="M140" s="90" t="s">
        <v>72</v>
      </c>
      <c r="N140" s="90" t="s">
        <v>72</v>
      </c>
      <c r="O140" s="90" t="str">
        <f t="shared" si="12"/>
        <v>Sumapaz</v>
      </c>
      <c r="P140" s="87" t="s">
        <v>327</v>
      </c>
      <c r="Q140" s="87"/>
      <c r="R140" s="87"/>
      <c r="S140" s="87"/>
      <c r="T140" s="87"/>
      <c r="U140" s="87"/>
      <c r="V140" s="90" t="str">
        <f t="shared" si="13"/>
        <v>Ruralidad</v>
      </c>
      <c r="W140" s="87" t="s">
        <v>109</v>
      </c>
      <c r="X140" s="87"/>
      <c r="Y140" s="87"/>
      <c r="Z140" s="87"/>
      <c r="AA140" s="87"/>
      <c r="AB140" s="87"/>
      <c r="AC140" s="90" t="str">
        <f t="shared" si="14"/>
        <v>Sumapaz</v>
      </c>
      <c r="AD140" s="87" t="s">
        <v>327</v>
      </c>
      <c r="AE140" s="87"/>
      <c r="AF140" s="87"/>
      <c r="AG140" s="87"/>
      <c r="AH140" s="87"/>
      <c r="AI140" s="87"/>
      <c r="AJ140" s="87"/>
      <c r="AK140" s="87"/>
      <c r="AL140" s="87"/>
      <c r="AM140" s="87"/>
      <c r="AN140" s="90" t="s">
        <v>160</v>
      </c>
      <c r="AO140" s="90" t="s">
        <v>781</v>
      </c>
      <c r="AP140" s="82"/>
      <c r="AQ140" s="87" t="s">
        <v>60</v>
      </c>
      <c r="AR140" s="87" t="s">
        <v>398</v>
      </c>
      <c r="AS140" s="82"/>
      <c r="AT140" s="87">
        <v>21</v>
      </c>
      <c r="AU140" s="87">
        <v>3</v>
      </c>
      <c r="AV140" s="87">
        <f t="shared" si="5"/>
        <v>24</v>
      </c>
      <c r="AW140" s="87" t="str">
        <f t="shared" si="17"/>
        <v>No Aplica</v>
      </c>
      <c r="AX140" s="87" t="s">
        <v>78</v>
      </c>
      <c r="AY140" s="87"/>
      <c r="AZ140" s="87"/>
      <c r="BA140" s="91" t="s">
        <v>782</v>
      </c>
      <c r="BB140" s="84"/>
      <c r="BC140" s="85"/>
      <c r="BD140" s="85"/>
    </row>
    <row r="141" spans="1:56" s="86" customFormat="1" ht="46.5" customHeight="1">
      <c r="A141" s="87">
        <v>136</v>
      </c>
      <c r="B141" s="79" t="s">
        <v>783</v>
      </c>
      <c r="C141" s="88">
        <v>45368</v>
      </c>
      <c r="D141" s="89">
        <v>0.45833333333333331</v>
      </c>
      <c r="E141" s="87" t="s">
        <v>58</v>
      </c>
      <c r="F141" s="87" t="s">
        <v>61</v>
      </c>
      <c r="G141" s="87" t="s">
        <v>62</v>
      </c>
      <c r="H141" s="90" t="s">
        <v>392</v>
      </c>
      <c r="I141" s="90" t="s">
        <v>193</v>
      </c>
      <c r="J141" s="87" t="s">
        <v>173</v>
      </c>
      <c r="K141" s="87"/>
      <c r="L141" s="90" t="s">
        <v>72</v>
      </c>
      <c r="M141" s="90" t="s">
        <v>72</v>
      </c>
      <c r="N141" s="90" t="s">
        <v>72</v>
      </c>
      <c r="O141" s="90" t="str">
        <f t="shared" si="12"/>
        <v>Usaquén</v>
      </c>
      <c r="P141" s="87" t="s">
        <v>428</v>
      </c>
      <c r="Q141" s="87"/>
      <c r="R141" s="87"/>
      <c r="S141" s="87"/>
      <c r="T141" s="87"/>
      <c r="U141" s="87"/>
      <c r="V141" s="90" t="str">
        <f t="shared" si="13"/>
        <v>Distrital</v>
      </c>
      <c r="W141" s="87" t="s">
        <v>73</v>
      </c>
      <c r="X141" s="87"/>
      <c r="Y141" s="87"/>
      <c r="Z141" s="87"/>
      <c r="AA141" s="87"/>
      <c r="AB141" s="87"/>
      <c r="AC141" s="90" t="str">
        <f t="shared" si="14"/>
        <v>Distrital</v>
      </c>
      <c r="AD141" s="87" t="s">
        <v>73</v>
      </c>
      <c r="AE141" s="87"/>
      <c r="AF141" s="87"/>
      <c r="AG141" s="87"/>
      <c r="AH141" s="87"/>
      <c r="AI141" s="87"/>
      <c r="AJ141" s="87"/>
      <c r="AK141" s="87"/>
      <c r="AL141" s="87"/>
      <c r="AM141" s="87"/>
      <c r="AN141" s="90" t="s">
        <v>160</v>
      </c>
      <c r="AO141" s="90" t="s">
        <v>775</v>
      </c>
      <c r="AP141" s="82"/>
      <c r="AQ141" s="87" t="s">
        <v>60</v>
      </c>
      <c r="AR141" s="87" t="s">
        <v>398</v>
      </c>
      <c r="AS141" s="82"/>
      <c r="AT141" s="87">
        <v>44</v>
      </c>
      <c r="AU141" s="87">
        <v>5</v>
      </c>
      <c r="AV141" s="87">
        <f t="shared" si="5"/>
        <v>49</v>
      </c>
      <c r="AW141" s="87" t="str">
        <f t="shared" si="17"/>
        <v>No Aplica</v>
      </c>
      <c r="AX141" s="87" t="s">
        <v>78</v>
      </c>
      <c r="AY141" s="87"/>
      <c r="AZ141" s="87"/>
      <c r="BA141" s="91" t="s">
        <v>784</v>
      </c>
      <c r="BB141" s="84"/>
      <c r="BC141" s="85"/>
      <c r="BD141" s="85"/>
    </row>
    <row r="142" spans="1:56" s="86" customFormat="1" ht="46.5" customHeight="1">
      <c r="A142" s="78">
        <v>137</v>
      </c>
      <c r="B142" s="79" t="s">
        <v>785</v>
      </c>
      <c r="C142" s="88">
        <v>45369</v>
      </c>
      <c r="D142" s="89">
        <v>0.33333333333333331</v>
      </c>
      <c r="E142" s="87" t="s">
        <v>58</v>
      </c>
      <c r="F142" s="87" t="s">
        <v>61</v>
      </c>
      <c r="G142" s="87" t="s">
        <v>62</v>
      </c>
      <c r="H142" s="90" t="s">
        <v>786</v>
      </c>
      <c r="I142" s="90" t="s">
        <v>64</v>
      </c>
      <c r="J142" s="87" t="s">
        <v>70</v>
      </c>
      <c r="K142" s="87" t="s">
        <v>97</v>
      </c>
      <c r="L142" s="90" t="s">
        <v>787</v>
      </c>
      <c r="M142" s="91" t="s">
        <v>788</v>
      </c>
      <c r="N142" s="90" t="s">
        <v>789</v>
      </c>
      <c r="O142" s="90" t="str">
        <f t="shared" si="12"/>
        <v>Distrital</v>
      </c>
      <c r="P142" s="87" t="s">
        <v>73</v>
      </c>
      <c r="Q142" s="87"/>
      <c r="R142" s="87"/>
      <c r="S142" s="87"/>
      <c r="T142" s="87"/>
      <c r="U142" s="87"/>
      <c r="V142" s="90" t="str">
        <f t="shared" si="13"/>
        <v>Distrital</v>
      </c>
      <c r="W142" s="87" t="s">
        <v>73</v>
      </c>
      <c r="X142" s="87"/>
      <c r="Y142" s="87"/>
      <c r="Z142" s="87"/>
      <c r="AA142" s="87"/>
      <c r="AB142" s="87"/>
      <c r="AC142" s="90" t="str">
        <f t="shared" si="14"/>
        <v>Distrital</v>
      </c>
      <c r="AD142" s="87" t="s">
        <v>73</v>
      </c>
      <c r="AE142" s="87"/>
      <c r="AF142" s="87"/>
      <c r="AG142" s="87"/>
      <c r="AH142" s="87"/>
      <c r="AI142" s="87"/>
      <c r="AJ142" s="87"/>
      <c r="AK142" s="87"/>
      <c r="AL142" s="87"/>
      <c r="AM142" s="87"/>
      <c r="AN142" s="90" t="s">
        <v>160</v>
      </c>
      <c r="AO142" s="90" t="s">
        <v>790</v>
      </c>
      <c r="AP142" s="82"/>
      <c r="AQ142" s="87" t="s">
        <v>60</v>
      </c>
      <c r="AR142" s="87" t="s">
        <v>77</v>
      </c>
      <c r="AS142" s="82"/>
      <c r="AT142" s="87">
        <v>20</v>
      </c>
      <c r="AU142" s="87">
        <v>3</v>
      </c>
      <c r="AV142" s="87">
        <f t="shared" si="5"/>
        <v>23</v>
      </c>
      <c r="AW142" s="87" t="str">
        <f t="shared" si="17"/>
        <v>No Aplica</v>
      </c>
      <c r="AX142" s="87" t="s">
        <v>78</v>
      </c>
      <c r="AY142" s="87"/>
      <c r="AZ142" s="87"/>
      <c r="BA142" s="91" t="s">
        <v>791</v>
      </c>
      <c r="BB142" s="84"/>
      <c r="BC142" s="85"/>
      <c r="BD142" s="85"/>
    </row>
    <row r="143" spans="1:56" s="86" customFormat="1" ht="46.5" customHeight="1">
      <c r="A143" s="87">
        <v>138</v>
      </c>
      <c r="B143" s="79" t="s">
        <v>792</v>
      </c>
      <c r="C143" s="88">
        <v>45369</v>
      </c>
      <c r="D143" s="89">
        <v>0.4375</v>
      </c>
      <c r="E143" s="87" t="s">
        <v>58</v>
      </c>
      <c r="F143" s="87" t="s">
        <v>61</v>
      </c>
      <c r="G143" s="87" t="s">
        <v>62</v>
      </c>
      <c r="H143" s="90" t="s">
        <v>793</v>
      </c>
      <c r="I143" s="90" t="s">
        <v>64</v>
      </c>
      <c r="J143" s="87" t="s">
        <v>70</v>
      </c>
      <c r="K143" s="87" t="s">
        <v>71</v>
      </c>
      <c r="L143" s="90" t="s">
        <v>794</v>
      </c>
      <c r="M143" s="91">
        <v>3143909467</v>
      </c>
      <c r="N143" s="90" t="s">
        <v>795</v>
      </c>
      <c r="O143" s="90" t="str">
        <f t="shared" si="12"/>
        <v>Distrital</v>
      </c>
      <c r="P143" s="87" t="s">
        <v>73</v>
      </c>
      <c r="Q143" s="87"/>
      <c r="R143" s="87"/>
      <c r="S143" s="87"/>
      <c r="T143" s="87"/>
      <c r="U143" s="87"/>
      <c r="V143" s="90" t="str">
        <f t="shared" si="13"/>
        <v>Distrital</v>
      </c>
      <c r="W143" s="87" t="s">
        <v>73</v>
      </c>
      <c r="X143" s="87"/>
      <c r="Y143" s="87"/>
      <c r="Z143" s="87"/>
      <c r="AA143" s="87"/>
      <c r="AB143" s="87"/>
      <c r="AC143" s="90" t="str">
        <f t="shared" si="14"/>
        <v>Distrital</v>
      </c>
      <c r="AD143" s="87" t="s">
        <v>73</v>
      </c>
      <c r="AE143" s="87"/>
      <c r="AF143" s="87"/>
      <c r="AG143" s="87"/>
      <c r="AH143" s="87"/>
      <c r="AI143" s="87"/>
      <c r="AJ143" s="87"/>
      <c r="AK143" s="87"/>
      <c r="AL143" s="87"/>
      <c r="AM143" s="87"/>
      <c r="AN143" s="90" t="s">
        <v>160</v>
      </c>
      <c r="AO143" s="90" t="s">
        <v>796</v>
      </c>
      <c r="AP143" s="82"/>
      <c r="AQ143" s="87" t="s">
        <v>60</v>
      </c>
      <c r="AR143" s="87" t="s">
        <v>77</v>
      </c>
      <c r="AS143" s="82"/>
      <c r="AT143" s="87">
        <v>5</v>
      </c>
      <c r="AU143" s="87">
        <v>2</v>
      </c>
      <c r="AV143" s="87">
        <f t="shared" si="5"/>
        <v>7</v>
      </c>
      <c r="AW143" s="87" t="str">
        <f t="shared" si="17"/>
        <v>No Aplica</v>
      </c>
      <c r="AX143" s="87" t="s">
        <v>78</v>
      </c>
      <c r="AY143" s="87"/>
      <c r="AZ143" s="87"/>
      <c r="BA143" s="91" t="s">
        <v>797</v>
      </c>
      <c r="BB143" s="84"/>
      <c r="BC143" s="85"/>
      <c r="BD143" s="85"/>
    </row>
    <row r="144" spans="1:56" s="86" customFormat="1" ht="46.5" customHeight="1">
      <c r="A144" s="78">
        <v>139</v>
      </c>
      <c r="B144" s="79" t="s">
        <v>798</v>
      </c>
      <c r="C144" s="88">
        <v>45369</v>
      </c>
      <c r="D144" s="89">
        <v>0.45833333333333331</v>
      </c>
      <c r="E144" s="87" t="s">
        <v>58</v>
      </c>
      <c r="F144" s="87" t="s">
        <v>135</v>
      </c>
      <c r="G144" s="87" t="s">
        <v>62</v>
      </c>
      <c r="H144" s="90" t="s">
        <v>799</v>
      </c>
      <c r="I144" s="90" t="s">
        <v>64</v>
      </c>
      <c r="J144" s="87" t="s">
        <v>70</v>
      </c>
      <c r="K144" s="87" t="s">
        <v>71</v>
      </c>
      <c r="L144" s="90" t="s">
        <v>72</v>
      </c>
      <c r="M144" s="91" t="s">
        <v>72</v>
      </c>
      <c r="N144" s="90" t="s">
        <v>72</v>
      </c>
      <c r="O144" s="90" t="str">
        <f t="shared" si="12"/>
        <v>Distrital</v>
      </c>
      <c r="P144" s="87" t="s">
        <v>73</v>
      </c>
      <c r="Q144" s="87"/>
      <c r="R144" s="87"/>
      <c r="S144" s="87"/>
      <c r="T144" s="87"/>
      <c r="U144" s="87"/>
      <c r="V144" s="90" t="str">
        <f t="shared" si="13"/>
        <v>Distrital</v>
      </c>
      <c r="W144" s="87" t="s">
        <v>73</v>
      </c>
      <c r="X144" s="87"/>
      <c r="Y144" s="87"/>
      <c r="Z144" s="87"/>
      <c r="AA144" s="87"/>
      <c r="AB144" s="87"/>
      <c r="AC144" s="90" t="str">
        <f t="shared" si="14"/>
        <v>Distrital</v>
      </c>
      <c r="AD144" s="87" t="s">
        <v>73</v>
      </c>
      <c r="AE144" s="87"/>
      <c r="AF144" s="87"/>
      <c r="AG144" s="87"/>
      <c r="AH144" s="87"/>
      <c r="AI144" s="87"/>
      <c r="AJ144" s="87"/>
      <c r="AK144" s="87"/>
      <c r="AL144" s="87"/>
      <c r="AM144" s="87"/>
      <c r="AN144" s="90" t="s">
        <v>160</v>
      </c>
      <c r="AO144" s="92" t="s">
        <v>800</v>
      </c>
      <c r="AP144" s="82"/>
      <c r="AQ144" s="87" t="s">
        <v>59</v>
      </c>
      <c r="AR144" s="87" t="s">
        <v>80</v>
      </c>
      <c r="AS144" s="82"/>
      <c r="AT144" s="87">
        <v>1</v>
      </c>
      <c r="AU144" s="87">
        <v>1</v>
      </c>
      <c r="AV144" s="87">
        <f t="shared" si="5"/>
        <v>2</v>
      </c>
      <c r="AW144" s="87" t="str">
        <f t="shared" si="17"/>
        <v>No Aplica</v>
      </c>
      <c r="AX144" s="87" t="s">
        <v>78</v>
      </c>
      <c r="AY144" s="87"/>
      <c r="AZ144" s="87"/>
      <c r="BA144" s="91" t="s">
        <v>801</v>
      </c>
      <c r="BB144" s="84"/>
      <c r="BC144" s="85"/>
      <c r="BD144" s="85"/>
    </row>
    <row r="145" spans="1:56" s="86" customFormat="1" ht="46.5" customHeight="1">
      <c r="A145" s="87">
        <v>140</v>
      </c>
      <c r="B145" s="79" t="s">
        <v>802</v>
      </c>
      <c r="C145" s="88">
        <v>45369</v>
      </c>
      <c r="D145" s="95">
        <v>0.58333333333333337</v>
      </c>
      <c r="E145" s="87" t="s">
        <v>58</v>
      </c>
      <c r="F145" s="87" t="s">
        <v>135</v>
      </c>
      <c r="G145" s="87" t="s">
        <v>62</v>
      </c>
      <c r="H145" s="90" t="s">
        <v>803</v>
      </c>
      <c r="I145" s="90" t="s">
        <v>64</v>
      </c>
      <c r="J145" s="87" t="s">
        <v>70</v>
      </c>
      <c r="K145" s="87" t="s">
        <v>71</v>
      </c>
      <c r="L145" s="90" t="s">
        <v>804</v>
      </c>
      <c r="M145" s="90">
        <v>3014462599</v>
      </c>
      <c r="N145" s="90" t="s">
        <v>805</v>
      </c>
      <c r="O145" s="90" t="str">
        <f t="shared" si="12"/>
        <v>Distrital</v>
      </c>
      <c r="P145" s="87" t="s">
        <v>73</v>
      </c>
      <c r="Q145" s="87"/>
      <c r="R145" s="87"/>
      <c r="S145" s="87"/>
      <c r="T145" s="87"/>
      <c r="U145" s="87"/>
      <c r="V145" s="90" t="str">
        <f t="shared" si="13"/>
        <v>Distrital</v>
      </c>
      <c r="W145" s="87" t="s">
        <v>73</v>
      </c>
      <c r="X145" s="87"/>
      <c r="Y145" s="87"/>
      <c r="Z145" s="87"/>
      <c r="AA145" s="87"/>
      <c r="AB145" s="87"/>
      <c r="AC145" s="90" t="str">
        <f t="shared" si="14"/>
        <v>Distrital</v>
      </c>
      <c r="AD145" s="87" t="s">
        <v>73</v>
      </c>
      <c r="AE145" s="87"/>
      <c r="AF145" s="87"/>
      <c r="AG145" s="87"/>
      <c r="AH145" s="87"/>
      <c r="AI145" s="87"/>
      <c r="AJ145" s="87"/>
      <c r="AK145" s="87"/>
      <c r="AL145" s="87"/>
      <c r="AM145" s="87"/>
      <c r="AN145" s="90" t="s">
        <v>160</v>
      </c>
      <c r="AO145" s="90" t="s">
        <v>683</v>
      </c>
      <c r="AP145" s="82"/>
      <c r="AQ145" s="87" t="s">
        <v>59</v>
      </c>
      <c r="AR145" s="87" t="s">
        <v>80</v>
      </c>
      <c r="AS145" s="82"/>
      <c r="AT145" s="87">
        <v>5</v>
      </c>
      <c r="AU145" s="87">
        <v>3</v>
      </c>
      <c r="AV145" s="87">
        <f t="shared" si="5"/>
        <v>8</v>
      </c>
      <c r="AW145" s="87" t="str">
        <f t="shared" si="17"/>
        <v>No Aplica</v>
      </c>
      <c r="AX145" s="87" t="s">
        <v>78</v>
      </c>
      <c r="AY145" s="87"/>
      <c r="AZ145" s="87"/>
      <c r="BA145" s="91" t="s">
        <v>806</v>
      </c>
      <c r="BB145" s="84"/>
      <c r="BC145" s="85"/>
      <c r="BD145" s="85"/>
    </row>
    <row r="146" spans="1:56" s="86" customFormat="1" ht="46.5" customHeight="1">
      <c r="A146" s="78">
        <v>141</v>
      </c>
      <c r="B146" s="79" t="s">
        <v>807</v>
      </c>
      <c r="C146" s="88">
        <v>45369</v>
      </c>
      <c r="D146" s="89">
        <v>0.64583333333333337</v>
      </c>
      <c r="E146" s="87" t="s">
        <v>58</v>
      </c>
      <c r="F146" s="87" t="s">
        <v>61</v>
      </c>
      <c r="G146" s="87" t="s">
        <v>62</v>
      </c>
      <c r="H146" s="90" t="s">
        <v>392</v>
      </c>
      <c r="I146" s="90" t="s">
        <v>172</v>
      </c>
      <c r="J146" s="87" t="s">
        <v>173</v>
      </c>
      <c r="K146" s="87"/>
      <c r="L146" s="90" t="s">
        <v>72</v>
      </c>
      <c r="M146" s="90" t="s">
        <v>72</v>
      </c>
      <c r="N146" s="90" t="s">
        <v>72</v>
      </c>
      <c r="O146" s="90" t="str">
        <f t="shared" si="12"/>
        <v>Chapinero</v>
      </c>
      <c r="P146" s="87" t="s">
        <v>221</v>
      </c>
      <c r="Q146" s="87"/>
      <c r="R146" s="87"/>
      <c r="S146" s="87"/>
      <c r="T146" s="87"/>
      <c r="U146" s="87"/>
      <c r="V146" s="90" t="str">
        <f t="shared" si="13"/>
        <v>Centro Ampliado</v>
      </c>
      <c r="W146" s="87" t="s">
        <v>415</v>
      </c>
      <c r="X146" s="87"/>
      <c r="Y146" s="87"/>
      <c r="Z146" s="87"/>
      <c r="AA146" s="87"/>
      <c r="AB146" s="87"/>
      <c r="AC146" s="90" t="str">
        <f t="shared" si="14"/>
        <v>Chapinero</v>
      </c>
      <c r="AD146" s="87" t="s">
        <v>221</v>
      </c>
      <c r="AE146" s="87"/>
      <c r="AF146" s="87"/>
      <c r="AG146" s="87"/>
      <c r="AH146" s="87"/>
      <c r="AI146" s="87"/>
      <c r="AJ146" s="87"/>
      <c r="AK146" s="87"/>
      <c r="AL146" s="87"/>
      <c r="AM146" s="87"/>
      <c r="AN146" s="90" t="s">
        <v>160</v>
      </c>
      <c r="AO146" s="90" t="s">
        <v>808</v>
      </c>
      <c r="AP146" s="82"/>
      <c r="AQ146" s="87" t="s">
        <v>60</v>
      </c>
      <c r="AR146" s="87" t="s">
        <v>398</v>
      </c>
      <c r="AS146" s="82"/>
      <c r="AT146" s="87">
        <v>66</v>
      </c>
      <c r="AU146" s="87">
        <v>17</v>
      </c>
      <c r="AV146" s="87">
        <f t="shared" si="5"/>
        <v>83</v>
      </c>
      <c r="AW146" s="87" t="str">
        <f t="shared" si="17"/>
        <v>Horarios Acordes</v>
      </c>
      <c r="AX146" s="87" t="s">
        <v>213</v>
      </c>
      <c r="AY146" s="87"/>
      <c r="AZ146" s="87"/>
      <c r="BA146" s="91" t="s">
        <v>809</v>
      </c>
      <c r="BB146" s="84"/>
      <c r="BC146" s="85"/>
      <c r="BD146" s="85"/>
    </row>
    <row r="147" spans="1:56" s="86" customFormat="1" ht="46.5" customHeight="1">
      <c r="A147" s="87">
        <v>142</v>
      </c>
      <c r="B147" s="79" t="s">
        <v>810</v>
      </c>
      <c r="C147" s="88">
        <v>45369</v>
      </c>
      <c r="D147" s="89">
        <v>0.70833333333333337</v>
      </c>
      <c r="E147" s="87" t="s">
        <v>93</v>
      </c>
      <c r="F147" s="87" t="s">
        <v>102</v>
      </c>
      <c r="G147" s="87" t="s">
        <v>95</v>
      </c>
      <c r="H147" s="90" t="s">
        <v>811</v>
      </c>
      <c r="I147" s="90" t="s">
        <v>118</v>
      </c>
      <c r="J147" s="87" t="s">
        <v>119</v>
      </c>
      <c r="K147" s="87" t="s">
        <v>129</v>
      </c>
      <c r="L147" s="90" t="s">
        <v>407</v>
      </c>
      <c r="M147" s="91">
        <v>3188799909</v>
      </c>
      <c r="N147" s="90" t="s">
        <v>72</v>
      </c>
      <c r="O147" s="90" t="str">
        <f t="shared" si="12"/>
        <v>Distrital</v>
      </c>
      <c r="P147" s="87" t="s">
        <v>73</v>
      </c>
      <c r="Q147" s="87"/>
      <c r="R147" s="87"/>
      <c r="S147" s="87"/>
      <c r="T147" s="87"/>
      <c r="U147" s="87"/>
      <c r="V147" s="90" t="str">
        <f t="shared" si="13"/>
        <v>Distrital</v>
      </c>
      <c r="W147" s="87" t="s">
        <v>73</v>
      </c>
      <c r="X147" s="87"/>
      <c r="Y147" s="87"/>
      <c r="Z147" s="87"/>
      <c r="AA147" s="87"/>
      <c r="AB147" s="87"/>
      <c r="AC147" s="90" t="str">
        <f t="shared" si="14"/>
        <v>Distrital</v>
      </c>
      <c r="AD147" s="87" t="s">
        <v>73</v>
      </c>
      <c r="AE147" s="87"/>
      <c r="AF147" s="87"/>
      <c r="AG147" s="87"/>
      <c r="AH147" s="87"/>
      <c r="AI147" s="87"/>
      <c r="AJ147" s="87"/>
      <c r="AK147" s="87"/>
      <c r="AL147" s="87"/>
      <c r="AM147" s="87"/>
      <c r="AN147" s="90" t="s">
        <v>160</v>
      </c>
      <c r="AO147" s="92" t="s">
        <v>812</v>
      </c>
      <c r="AP147" s="82"/>
      <c r="AQ147" s="87" t="s">
        <v>59</v>
      </c>
      <c r="AR147" s="87" t="s">
        <v>80</v>
      </c>
      <c r="AS147" s="82"/>
      <c r="AT147" s="87">
        <v>86</v>
      </c>
      <c r="AU147" s="87">
        <v>5</v>
      </c>
      <c r="AV147" s="87">
        <f t="shared" si="5"/>
        <v>91</v>
      </c>
      <c r="AW147" s="87" t="str">
        <f t="shared" si="17"/>
        <v>No Aplica</v>
      </c>
      <c r="AX147" s="87" t="s">
        <v>78</v>
      </c>
      <c r="AY147" s="87"/>
      <c r="AZ147" s="87"/>
      <c r="BA147" s="91" t="s">
        <v>813</v>
      </c>
      <c r="BB147" s="84"/>
      <c r="BC147" s="85"/>
      <c r="BD147" s="85"/>
    </row>
    <row r="148" spans="1:56" s="86" customFormat="1" ht="46.5" customHeight="1">
      <c r="A148" s="78">
        <v>143</v>
      </c>
      <c r="B148" s="79" t="s">
        <v>814</v>
      </c>
      <c r="C148" s="88">
        <v>45370</v>
      </c>
      <c r="D148" s="89">
        <v>0.375</v>
      </c>
      <c r="E148" s="87" t="s">
        <v>58</v>
      </c>
      <c r="F148" s="87" t="s">
        <v>61</v>
      </c>
      <c r="G148" s="87" t="s">
        <v>62</v>
      </c>
      <c r="H148" s="90" t="s">
        <v>815</v>
      </c>
      <c r="I148" s="90" t="s">
        <v>172</v>
      </c>
      <c r="J148" s="87" t="s">
        <v>816</v>
      </c>
      <c r="K148" s="87"/>
      <c r="L148" s="90" t="s">
        <v>72</v>
      </c>
      <c r="M148" s="90" t="s">
        <v>72</v>
      </c>
      <c r="N148" s="90" t="s">
        <v>72</v>
      </c>
      <c r="O148" s="90" t="str">
        <f t="shared" si="12"/>
        <v>Distrital</v>
      </c>
      <c r="P148" s="87" t="s">
        <v>73</v>
      </c>
      <c r="Q148" s="87"/>
      <c r="R148" s="87"/>
      <c r="S148" s="87"/>
      <c r="T148" s="87"/>
      <c r="U148" s="87"/>
      <c r="V148" s="90" t="str">
        <f t="shared" si="13"/>
        <v>Distrital</v>
      </c>
      <c r="W148" s="87" t="s">
        <v>73</v>
      </c>
      <c r="X148" s="87"/>
      <c r="Y148" s="87"/>
      <c r="Z148" s="87"/>
      <c r="AA148" s="87"/>
      <c r="AB148" s="87"/>
      <c r="AC148" s="90" t="str">
        <f t="shared" si="14"/>
        <v>Distrital</v>
      </c>
      <c r="AD148" s="87" t="s">
        <v>73</v>
      </c>
      <c r="AE148" s="87"/>
      <c r="AF148" s="87"/>
      <c r="AG148" s="87"/>
      <c r="AH148" s="87"/>
      <c r="AI148" s="87"/>
      <c r="AJ148" s="87"/>
      <c r="AK148" s="87"/>
      <c r="AL148" s="87"/>
      <c r="AM148" s="87"/>
      <c r="AN148" s="90" t="s">
        <v>160</v>
      </c>
      <c r="AO148" s="90" t="s">
        <v>817</v>
      </c>
      <c r="AP148" s="82"/>
      <c r="AQ148" s="87" t="s">
        <v>60</v>
      </c>
      <c r="AR148" s="87" t="s">
        <v>398</v>
      </c>
      <c r="AS148" s="82"/>
      <c r="AT148" s="87">
        <v>29</v>
      </c>
      <c r="AU148" s="87">
        <v>1</v>
      </c>
      <c r="AV148" s="87">
        <f t="shared" si="5"/>
        <v>30</v>
      </c>
      <c r="AW148" s="87" t="str">
        <f t="shared" si="17"/>
        <v>Contenidos adaptados</v>
      </c>
      <c r="AX148" s="87" t="s">
        <v>212</v>
      </c>
      <c r="AY148" s="87"/>
      <c r="AZ148" s="87"/>
      <c r="BA148" s="91" t="s">
        <v>818</v>
      </c>
      <c r="BB148" s="84"/>
      <c r="BC148" s="85"/>
      <c r="BD148" s="85"/>
    </row>
    <row r="149" spans="1:56" s="86" customFormat="1" ht="46.5" customHeight="1">
      <c r="A149" s="87">
        <v>144</v>
      </c>
      <c r="B149" s="79" t="s">
        <v>819</v>
      </c>
      <c r="C149" s="88">
        <v>45370</v>
      </c>
      <c r="D149" s="89">
        <v>0.375</v>
      </c>
      <c r="E149" s="87" t="s">
        <v>93</v>
      </c>
      <c r="F149" s="87" t="s">
        <v>321</v>
      </c>
      <c r="G149" s="87" t="s">
        <v>62</v>
      </c>
      <c r="H149" s="90" t="s">
        <v>820</v>
      </c>
      <c r="I149" s="90" t="s">
        <v>64</v>
      </c>
      <c r="J149" s="87" t="s">
        <v>70</v>
      </c>
      <c r="K149" s="87" t="s">
        <v>324</v>
      </c>
      <c r="L149" s="90" t="s">
        <v>821</v>
      </c>
      <c r="M149" s="91" t="s">
        <v>822</v>
      </c>
      <c r="N149" s="90" t="s">
        <v>72</v>
      </c>
      <c r="O149" s="90" t="str">
        <f t="shared" si="12"/>
        <v>Puente Aranda</v>
      </c>
      <c r="P149" s="87" t="s">
        <v>823</v>
      </c>
      <c r="Q149" s="87"/>
      <c r="R149" s="87"/>
      <c r="S149" s="87"/>
      <c r="T149" s="87"/>
      <c r="U149" s="87"/>
      <c r="V149" s="90" t="str">
        <f t="shared" si="13"/>
        <v>Centro Ampliado</v>
      </c>
      <c r="W149" s="87" t="s">
        <v>415</v>
      </c>
      <c r="X149" s="87"/>
      <c r="Y149" s="87"/>
      <c r="Z149" s="87"/>
      <c r="AA149" s="87"/>
      <c r="AB149" s="87"/>
      <c r="AC149" s="90" t="str">
        <f t="shared" si="14"/>
        <v>Puente Aranda</v>
      </c>
      <c r="AD149" s="87" t="s">
        <v>823</v>
      </c>
      <c r="AE149" s="87"/>
      <c r="AF149" s="87"/>
      <c r="AG149" s="87"/>
      <c r="AH149" s="87"/>
      <c r="AI149" s="87"/>
      <c r="AJ149" s="87"/>
      <c r="AK149" s="87"/>
      <c r="AL149" s="87"/>
      <c r="AM149" s="87"/>
      <c r="AN149" s="90" t="s">
        <v>160</v>
      </c>
      <c r="AO149" s="94" t="s">
        <v>824</v>
      </c>
      <c r="AP149" s="82"/>
      <c r="AQ149" s="87" t="s">
        <v>59</v>
      </c>
      <c r="AR149" s="87" t="s">
        <v>80</v>
      </c>
      <c r="AS149" s="82"/>
      <c r="AT149" s="87">
        <v>20</v>
      </c>
      <c r="AU149" s="87">
        <v>1</v>
      </c>
      <c r="AV149" s="87">
        <f t="shared" si="5"/>
        <v>21</v>
      </c>
      <c r="AW149" s="87" t="str">
        <f t="shared" si="17"/>
        <v>No Aplica</v>
      </c>
      <c r="AX149" s="87" t="s">
        <v>78</v>
      </c>
      <c r="AY149" s="87"/>
      <c r="AZ149" s="87"/>
      <c r="BA149" s="91" t="s">
        <v>825</v>
      </c>
      <c r="BB149" s="84"/>
      <c r="BC149" s="85"/>
      <c r="BD149" s="85"/>
    </row>
    <row r="150" spans="1:56" s="86" customFormat="1" ht="46.5" customHeight="1">
      <c r="A150" s="78">
        <v>145</v>
      </c>
      <c r="B150" s="79" t="s">
        <v>826</v>
      </c>
      <c r="C150" s="88">
        <v>45370</v>
      </c>
      <c r="D150" s="89">
        <v>0.375</v>
      </c>
      <c r="E150" s="87" t="s">
        <v>58</v>
      </c>
      <c r="F150" s="87" t="s">
        <v>61</v>
      </c>
      <c r="G150" s="87" t="s">
        <v>95</v>
      </c>
      <c r="H150" s="90" t="s">
        <v>827</v>
      </c>
      <c r="I150" s="90" t="s">
        <v>172</v>
      </c>
      <c r="J150" s="87" t="s">
        <v>119</v>
      </c>
      <c r="K150" s="87" t="s">
        <v>209</v>
      </c>
      <c r="L150" s="90" t="s">
        <v>794</v>
      </c>
      <c r="M150" s="91">
        <v>3143909467</v>
      </c>
      <c r="N150" s="90" t="s">
        <v>828</v>
      </c>
      <c r="O150" s="90" t="str">
        <f t="shared" si="12"/>
        <v>Distrital</v>
      </c>
      <c r="P150" s="87" t="s">
        <v>73</v>
      </c>
      <c r="Q150" s="87"/>
      <c r="R150" s="87"/>
      <c r="S150" s="87"/>
      <c r="T150" s="87"/>
      <c r="U150" s="87"/>
      <c r="V150" s="90" t="str">
        <f t="shared" si="13"/>
        <v>Distrital</v>
      </c>
      <c r="W150" s="87" t="s">
        <v>73</v>
      </c>
      <c r="X150" s="87"/>
      <c r="Y150" s="87"/>
      <c r="Z150" s="87"/>
      <c r="AA150" s="87"/>
      <c r="AB150" s="87"/>
      <c r="AC150" s="90" t="str">
        <f t="shared" si="14"/>
        <v>Distrital</v>
      </c>
      <c r="AD150" s="87" t="s">
        <v>73</v>
      </c>
      <c r="AE150" s="87"/>
      <c r="AF150" s="87"/>
      <c r="AG150" s="87"/>
      <c r="AH150" s="87"/>
      <c r="AI150" s="87"/>
      <c r="AJ150" s="87"/>
      <c r="AK150" s="87"/>
      <c r="AL150" s="87"/>
      <c r="AM150" s="87"/>
      <c r="AN150" s="90" t="s">
        <v>160</v>
      </c>
      <c r="AO150" s="90" t="s">
        <v>829</v>
      </c>
      <c r="AP150" s="82"/>
      <c r="AQ150" s="87" t="s">
        <v>60</v>
      </c>
      <c r="AR150" s="87" t="s">
        <v>398</v>
      </c>
      <c r="AS150" s="82"/>
      <c r="AT150" s="87">
        <v>52</v>
      </c>
      <c r="AU150" s="87">
        <v>5</v>
      </c>
      <c r="AV150" s="87">
        <f t="shared" si="5"/>
        <v>57</v>
      </c>
      <c r="AW150" s="87" t="str">
        <f t="shared" si="17"/>
        <v>Ninguna</v>
      </c>
      <c r="AX150" s="87" t="s">
        <v>75</v>
      </c>
      <c r="AY150" s="87"/>
      <c r="AZ150" s="87"/>
      <c r="BA150" s="91" t="s">
        <v>830</v>
      </c>
      <c r="BB150" s="84"/>
      <c r="BC150" s="85"/>
      <c r="BD150" s="85"/>
    </row>
    <row r="151" spans="1:56" s="86" customFormat="1" ht="46.5" customHeight="1">
      <c r="A151" s="87">
        <v>146</v>
      </c>
      <c r="B151" s="79" t="s">
        <v>832</v>
      </c>
      <c r="C151" s="88">
        <v>45370</v>
      </c>
      <c r="D151" s="89">
        <v>0.375</v>
      </c>
      <c r="E151" s="87" t="s">
        <v>562</v>
      </c>
      <c r="F151" s="87" t="s">
        <v>833</v>
      </c>
      <c r="G151" s="87" t="s">
        <v>95</v>
      </c>
      <c r="H151" s="90" t="s">
        <v>834</v>
      </c>
      <c r="I151" s="90" t="s">
        <v>188</v>
      </c>
      <c r="J151" s="87" t="s">
        <v>70</v>
      </c>
      <c r="K151" s="87" t="s">
        <v>71</v>
      </c>
      <c r="L151" s="90" t="s">
        <v>835</v>
      </c>
      <c r="M151" s="91" t="s">
        <v>836</v>
      </c>
      <c r="N151" s="90" t="s">
        <v>837</v>
      </c>
      <c r="O151" s="90" t="str">
        <f t="shared" si="12"/>
        <v>Distrital</v>
      </c>
      <c r="P151" s="87" t="s">
        <v>73</v>
      </c>
      <c r="Q151" s="87"/>
      <c r="R151" s="87"/>
      <c r="S151" s="87"/>
      <c r="T151" s="87"/>
      <c r="U151" s="87"/>
      <c r="V151" s="90" t="str">
        <f t="shared" si="13"/>
        <v>Distrital</v>
      </c>
      <c r="W151" s="87" t="s">
        <v>73</v>
      </c>
      <c r="X151" s="87"/>
      <c r="Y151" s="87"/>
      <c r="Z151" s="87"/>
      <c r="AA151" s="87"/>
      <c r="AB151" s="87"/>
      <c r="AC151" s="90" t="str">
        <f t="shared" si="14"/>
        <v>Distrital</v>
      </c>
      <c r="AD151" s="87" t="s">
        <v>73</v>
      </c>
      <c r="AE151" s="87"/>
      <c r="AF151" s="87"/>
      <c r="AG151" s="87"/>
      <c r="AH151" s="87"/>
      <c r="AI151" s="87"/>
      <c r="AJ151" s="87"/>
      <c r="AK151" s="87"/>
      <c r="AL151" s="87"/>
      <c r="AM151" s="87"/>
      <c r="AN151" s="90" t="s">
        <v>160</v>
      </c>
      <c r="AO151" s="92" t="s">
        <v>838</v>
      </c>
      <c r="AP151" s="82"/>
      <c r="AQ151" s="87" t="s">
        <v>59</v>
      </c>
      <c r="AR151" s="87" t="s">
        <v>80</v>
      </c>
      <c r="AS151" s="82"/>
      <c r="AT151" s="87">
        <v>16</v>
      </c>
      <c r="AU151" s="87">
        <v>2</v>
      </c>
      <c r="AV151" s="87">
        <f t="shared" si="5"/>
        <v>18</v>
      </c>
      <c r="AW151" s="87" t="str">
        <f t="shared" si="17"/>
        <v>No Aplica</v>
      </c>
      <c r="AX151" s="87" t="s">
        <v>78</v>
      </c>
      <c r="AY151" s="87"/>
      <c r="AZ151" s="87"/>
      <c r="BA151" s="91" t="s">
        <v>839</v>
      </c>
      <c r="BB151" s="84"/>
      <c r="BC151" s="85"/>
      <c r="BD151" s="85"/>
    </row>
    <row r="152" spans="1:56" s="86" customFormat="1" ht="46.5" customHeight="1">
      <c r="A152" s="78">
        <v>147</v>
      </c>
      <c r="B152" s="79" t="s">
        <v>840</v>
      </c>
      <c r="C152" s="88">
        <v>45370</v>
      </c>
      <c r="D152" s="89">
        <v>0.47916666666666669</v>
      </c>
      <c r="E152" s="87" t="s">
        <v>58</v>
      </c>
      <c r="F152" s="87" t="s">
        <v>61</v>
      </c>
      <c r="G152" s="87" t="s">
        <v>95</v>
      </c>
      <c r="H152" s="90" t="s">
        <v>841</v>
      </c>
      <c r="I152" s="90" t="s">
        <v>172</v>
      </c>
      <c r="J152" s="87" t="s">
        <v>376</v>
      </c>
      <c r="K152" s="87"/>
      <c r="L152" s="90" t="s">
        <v>842</v>
      </c>
      <c r="M152" s="90" t="s">
        <v>72</v>
      </c>
      <c r="N152" s="92" t="s">
        <v>843</v>
      </c>
      <c r="O152" s="90" t="str">
        <f t="shared" si="12"/>
        <v>Distrital</v>
      </c>
      <c r="P152" s="87" t="s">
        <v>73</v>
      </c>
      <c r="Q152" s="87"/>
      <c r="R152" s="87"/>
      <c r="S152" s="87"/>
      <c r="T152" s="87"/>
      <c r="U152" s="87"/>
      <c r="V152" s="90" t="str">
        <f t="shared" si="13"/>
        <v>Distrital</v>
      </c>
      <c r="W152" s="87" t="s">
        <v>73</v>
      </c>
      <c r="X152" s="87"/>
      <c r="Y152" s="87"/>
      <c r="Z152" s="87"/>
      <c r="AA152" s="87"/>
      <c r="AB152" s="87"/>
      <c r="AC152" s="90" t="str">
        <f t="shared" si="14"/>
        <v>Distrital</v>
      </c>
      <c r="AD152" s="87" t="s">
        <v>73</v>
      </c>
      <c r="AE152" s="87"/>
      <c r="AF152" s="87"/>
      <c r="AG152" s="87"/>
      <c r="AH152" s="87"/>
      <c r="AI152" s="87"/>
      <c r="AJ152" s="87"/>
      <c r="AK152" s="87"/>
      <c r="AL152" s="87"/>
      <c r="AM152" s="87"/>
      <c r="AN152" s="90" t="s">
        <v>160</v>
      </c>
      <c r="AO152" s="92" t="s">
        <v>844</v>
      </c>
      <c r="AP152" s="82"/>
      <c r="AQ152" s="87" t="s">
        <v>60</v>
      </c>
      <c r="AR152" s="87" t="s">
        <v>77</v>
      </c>
      <c r="AS152" s="82"/>
      <c r="AT152" s="87">
        <v>2</v>
      </c>
      <c r="AU152" s="87">
        <v>4</v>
      </c>
      <c r="AV152" s="87">
        <f t="shared" si="5"/>
        <v>6</v>
      </c>
      <c r="AW152" s="87" t="str">
        <f t="shared" si="17"/>
        <v>No Aplica</v>
      </c>
      <c r="AX152" s="87" t="s">
        <v>78</v>
      </c>
      <c r="AY152" s="87"/>
      <c r="AZ152" s="87"/>
      <c r="BA152" s="91" t="s">
        <v>845</v>
      </c>
      <c r="BB152" s="84"/>
      <c r="BC152" s="85"/>
      <c r="BD152" s="85"/>
    </row>
    <row r="153" spans="1:56" s="86" customFormat="1" ht="46.5" customHeight="1">
      <c r="A153" s="87">
        <v>148</v>
      </c>
      <c r="B153" s="79" t="s">
        <v>846</v>
      </c>
      <c r="C153" s="88">
        <v>45370</v>
      </c>
      <c r="D153" s="89">
        <v>0.5625</v>
      </c>
      <c r="E153" s="87" t="s">
        <v>58</v>
      </c>
      <c r="F153" s="87" t="s">
        <v>61</v>
      </c>
      <c r="G153" s="87" t="s">
        <v>62</v>
      </c>
      <c r="H153" s="90" t="s">
        <v>392</v>
      </c>
      <c r="I153" s="90" t="s">
        <v>172</v>
      </c>
      <c r="J153" s="87" t="s">
        <v>173</v>
      </c>
      <c r="K153" s="87"/>
      <c r="L153" s="90" t="s">
        <v>847</v>
      </c>
      <c r="M153" s="90">
        <v>3125695208</v>
      </c>
      <c r="N153" s="90" t="s">
        <v>72</v>
      </c>
      <c r="O153" s="90" t="str">
        <f t="shared" si="12"/>
        <v>Sumapaz</v>
      </c>
      <c r="P153" s="87" t="s">
        <v>327</v>
      </c>
      <c r="Q153" s="87"/>
      <c r="R153" s="87"/>
      <c r="S153" s="87"/>
      <c r="T153" s="87"/>
      <c r="U153" s="87"/>
      <c r="V153" s="90" t="str">
        <f t="shared" si="13"/>
        <v>Ruralidad</v>
      </c>
      <c r="W153" s="87" t="s">
        <v>109</v>
      </c>
      <c r="X153" s="87"/>
      <c r="Y153" s="87"/>
      <c r="Z153" s="87"/>
      <c r="AA153" s="87"/>
      <c r="AB153" s="87"/>
      <c r="AC153" s="90" t="str">
        <f t="shared" si="14"/>
        <v>Sumapaz</v>
      </c>
      <c r="AD153" s="87" t="s">
        <v>327</v>
      </c>
      <c r="AE153" s="87"/>
      <c r="AF153" s="87"/>
      <c r="AG153" s="87"/>
      <c r="AH153" s="87"/>
      <c r="AI153" s="87"/>
      <c r="AJ153" s="87"/>
      <c r="AK153" s="87"/>
      <c r="AL153" s="87"/>
      <c r="AM153" s="87"/>
      <c r="AN153" s="90" t="s">
        <v>160</v>
      </c>
      <c r="AO153" s="90" t="s">
        <v>848</v>
      </c>
      <c r="AP153" s="82"/>
      <c r="AQ153" s="87" t="s">
        <v>60</v>
      </c>
      <c r="AR153" s="87" t="s">
        <v>398</v>
      </c>
      <c r="AS153" s="82"/>
      <c r="AT153" s="87">
        <v>59</v>
      </c>
      <c r="AU153" s="87">
        <v>11</v>
      </c>
      <c r="AV153" s="87">
        <f t="shared" si="5"/>
        <v>70</v>
      </c>
      <c r="AW153" s="87" t="str">
        <f t="shared" si="17"/>
        <v>Contenidos adaptados</v>
      </c>
      <c r="AX153" s="87" t="s">
        <v>212</v>
      </c>
      <c r="AY153" s="87"/>
      <c r="AZ153" s="87"/>
      <c r="BA153" s="91" t="s">
        <v>849</v>
      </c>
      <c r="BB153" s="84"/>
      <c r="BC153" s="85"/>
      <c r="BD153" s="85"/>
    </row>
    <row r="154" spans="1:56" s="86" customFormat="1" ht="46.5" customHeight="1">
      <c r="A154" s="78">
        <v>149</v>
      </c>
      <c r="B154" s="79" t="s">
        <v>850</v>
      </c>
      <c r="C154" s="88">
        <v>45370</v>
      </c>
      <c r="D154" s="89">
        <v>0.60416666666666663</v>
      </c>
      <c r="E154" s="87" t="s">
        <v>58</v>
      </c>
      <c r="F154" s="87" t="s">
        <v>61</v>
      </c>
      <c r="G154" s="87" t="s">
        <v>62</v>
      </c>
      <c r="H154" s="90" t="s">
        <v>392</v>
      </c>
      <c r="I154" s="90" t="s">
        <v>172</v>
      </c>
      <c r="J154" s="87" t="s">
        <v>173</v>
      </c>
      <c r="K154" s="87"/>
      <c r="L154" s="90" t="s">
        <v>72</v>
      </c>
      <c r="M154" s="90" t="s">
        <v>72</v>
      </c>
      <c r="N154" s="90" t="s">
        <v>72</v>
      </c>
      <c r="O154" s="90" t="str">
        <f t="shared" si="12"/>
        <v>Fontibón, Engativá</v>
      </c>
      <c r="P154" s="87" t="s">
        <v>420</v>
      </c>
      <c r="Q154" s="87" t="s">
        <v>123</v>
      </c>
      <c r="R154" s="87"/>
      <c r="S154" s="87"/>
      <c r="T154" s="87"/>
      <c r="U154" s="87"/>
      <c r="V154" s="90" t="str">
        <f t="shared" si="13"/>
        <v>Occidente</v>
      </c>
      <c r="W154" s="87" t="s">
        <v>124</v>
      </c>
      <c r="X154" s="87"/>
      <c r="Y154" s="87"/>
      <c r="Z154" s="87"/>
      <c r="AA154" s="87"/>
      <c r="AB154" s="87"/>
      <c r="AC154" s="90" t="str">
        <f t="shared" si="14"/>
        <v>Salitre</v>
      </c>
      <c r="AD154" s="87" t="s">
        <v>258</v>
      </c>
      <c r="AE154" s="87"/>
      <c r="AF154" s="87"/>
      <c r="AG154" s="87"/>
      <c r="AH154" s="87"/>
      <c r="AI154" s="87"/>
      <c r="AJ154" s="87"/>
      <c r="AK154" s="87"/>
      <c r="AL154" s="87"/>
      <c r="AM154" s="87"/>
      <c r="AN154" s="90" t="s">
        <v>160</v>
      </c>
      <c r="AO154" s="90" t="s">
        <v>851</v>
      </c>
      <c r="AP154" s="82"/>
      <c r="AQ154" s="87" t="s">
        <v>60</v>
      </c>
      <c r="AR154" s="87" t="s">
        <v>398</v>
      </c>
      <c r="AS154" s="82"/>
      <c r="AT154" s="87">
        <v>53</v>
      </c>
      <c r="AU154" s="87">
        <v>18</v>
      </c>
      <c r="AV154" s="87">
        <f t="shared" si="5"/>
        <v>71</v>
      </c>
      <c r="AW154" s="87" t="str">
        <f t="shared" si="17"/>
        <v>Ninguna</v>
      </c>
      <c r="AX154" s="87" t="s">
        <v>75</v>
      </c>
      <c r="AY154" s="87"/>
      <c r="AZ154" s="87"/>
      <c r="BA154" s="91" t="s">
        <v>852</v>
      </c>
      <c r="BB154" s="84"/>
      <c r="BC154" s="85"/>
      <c r="BD154" s="85"/>
    </row>
    <row r="155" spans="1:56" s="86" customFormat="1" ht="46.5" customHeight="1">
      <c r="A155" s="87">
        <v>150</v>
      </c>
      <c r="B155" s="79" t="s">
        <v>853</v>
      </c>
      <c r="C155" s="88">
        <v>45370</v>
      </c>
      <c r="D155" s="89">
        <v>0.6875</v>
      </c>
      <c r="E155" s="87" t="s">
        <v>562</v>
      </c>
      <c r="F155" s="87" t="s">
        <v>61</v>
      </c>
      <c r="G155" s="87" t="s">
        <v>62</v>
      </c>
      <c r="H155" s="90" t="s">
        <v>854</v>
      </c>
      <c r="I155" s="90" t="s">
        <v>64</v>
      </c>
      <c r="J155" s="87" t="s">
        <v>173</v>
      </c>
      <c r="K155" s="87"/>
      <c r="L155" s="90" t="s">
        <v>855</v>
      </c>
      <c r="M155" s="91" t="s">
        <v>856</v>
      </c>
      <c r="N155" s="90" t="s">
        <v>857</v>
      </c>
      <c r="O155" s="90" t="str">
        <f t="shared" si="12"/>
        <v>Santa Fe</v>
      </c>
      <c r="P155" s="87" t="s">
        <v>541</v>
      </c>
      <c r="Q155" s="87"/>
      <c r="R155" s="87"/>
      <c r="S155" s="87"/>
      <c r="T155" s="87"/>
      <c r="U155" s="87"/>
      <c r="V155" s="90" t="str">
        <f t="shared" si="13"/>
        <v>Centro Ampliado, Ruralidad</v>
      </c>
      <c r="W155" s="87" t="s">
        <v>415</v>
      </c>
      <c r="X155" s="87" t="s">
        <v>109</v>
      </c>
      <c r="Y155" s="87"/>
      <c r="Z155" s="87"/>
      <c r="AA155" s="87"/>
      <c r="AB155" s="87"/>
      <c r="AC155" s="90" t="str">
        <f t="shared" si="14"/>
        <v>Cerros Orientales, Centro Histórico</v>
      </c>
      <c r="AD155" s="87" t="s">
        <v>222</v>
      </c>
      <c r="AE155" s="87" t="s">
        <v>488</v>
      </c>
      <c r="AF155" s="87"/>
      <c r="AG155" s="87"/>
      <c r="AH155" s="87"/>
      <c r="AI155" s="87"/>
      <c r="AJ155" s="87"/>
      <c r="AK155" s="87"/>
      <c r="AL155" s="87"/>
      <c r="AM155" s="87"/>
      <c r="AN155" s="90" t="s">
        <v>160</v>
      </c>
      <c r="AO155" s="90" t="s">
        <v>858</v>
      </c>
      <c r="AP155" s="82"/>
      <c r="AQ155" s="87" t="s">
        <v>59</v>
      </c>
      <c r="AR155" s="87" t="s">
        <v>80</v>
      </c>
      <c r="AS155" s="82"/>
      <c r="AT155" s="87">
        <v>21</v>
      </c>
      <c r="AU155" s="87">
        <v>15</v>
      </c>
      <c r="AV155" s="87">
        <f t="shared" ref="AV155" si="18">AT155+AU155</f>
        <v>36</v>
      </c>
      <c r="AW155" s="87" t="str">
        <f t="shared" ref="AW155" si="19">_xlfn.TEXTJOIN(", ",TRUE,$AX155:$AZ155)</f>
        <v>Ninguna</v>
      </c>
      <c r="AX155" s="87" t="s">
        <v>75</v>
      </c>
      <c r="AY155" s="87"/>
      <c r="AZ155" s="87"/>
      <c r="BA155" s="91" t="s">
        <v>859</v>
      </c>
      <c r="BB155" s="84"/>
      <c r="BC155" s="85"/>
      <c r="BD155" s="85"/>
    </row>
    <row r="156" spans="1:56" s="86" customFormat="1" ht="46.5" customHeight="1">
      <c r="A156" s="78">
        <v>151</v>
      </c>
      <c r="B156" s="79" t="s">
        <v>860</v>
      </c>
      <c r="C156" s="88">
        <v>45370</v>
      </c>
      <c r="D156" s="89">
        <v>0.70833333333333337</v>
      </c>
      <c r="E156" s="87" t="s">
        <v>93</v>
      </c>
      <c r="F156" s="87" t="s">
        <v>102</v>
      </c>
      <c r="G156" s="87" t="s">
        <v>95</v>
      </c>
      <c r="H156" s="90" t="s">
        <v>861</v>
      </c>
      <c r="I156" s="90" t="s">
        <v>188</v>
      </c>
      <c r="J156" s="87" t="s">
        <v>119</v>
      </c>
      <c r="K156" s="87" t="s">
        <v>129</v>
      </c>
      <c r="L156" s="90" t="s">
        <v>735</v>
      </c>
      <c r="M156" s="91">
        <v>3178255261</v>
      </c>
      <c r="N156" s="90" t="s">
        <v>736</v>
      </c>
      <c r="O156" s="90" t="str">
        <f t="shared" si="12"/>
        <v>Distrital</v>
      </c>
      <c r="P156" s="87" t="s">
        <v>73</v>
      </c>
      <c r="Q156" s="87"/>
      <c r="R156" s="87"/>
      <c r="S156" s="87"/>
      <c r="T156" s="87"/>
      <c r="U156" s="87"/>
      <c r="V156" s="90" t="str">
        <f t="shared" si="13"/>
        <v>Distrital</v>
      </c>
      <c r="W156" s="87" t="s">
        <v>73</v>
      </c>
      <c r="X156" s="87"/>
      <c r="Y156" s="87"/>
      <c r="Z156" s="87"/>
      <c r="AA156" s="87"/>
      <c r="AB156" s="87"/>
      <c r="AC156" s="90" t="str">
        <f t="shared" si="14"/>
        <v>Distrital</v>
      </c>
      <c r="AD156" s="87" t="s">
        <v>73</v>
      </c>
      <c r="AE156" s="87"/>
      <c r="AF156" s="87"/>
      <c r="AG156" s="87"/>
      <c r="AH156" s="87"/>
      <c r="AI156" s="87"/>
      <c r="AJ156" s="87"/>
      <c r="AK156" s="87"/>
      <c r="AL156" s="87"/>
      <c r="AM156" s="87"/>
      <c r="AN156" s="90" t="s">
        <v>160</v>
      </c>
      <c r="AO156" s="92" t="s">
        <v>862</v>
      </c>
      <c r="AP156" s="82"/>
      <c r="AQ156" s="87" t="s">
        <v>59</v>
      </c>
      <c r="AR156" s="87" t="s">
        <v>80</v>
      </c>
      <c r="AS156" s="82"/>
      <c r="AT156" s="87">
        <v>48</v>
      </c>
      <c r="AU156" s="87">
        <v>1</v>
      </c>
      <c r="AV156" s="87">
        <f t="shared" si="5"/>
        <v>49</v>
      </c>
      <c r="AW156" s="87" t="str">
        <f t="shared" ref="AW156:AW168" si="20">_xlfn.TEXTJOIN(", ",TRUE,$AX156:$AZ156)</f>
        <v>No Aplica</v>
      </c>
      <c r="AX156" s="87" t="s">
        <v>78</v>
      </c>
      <c r="AY156" s="87"/>
      <c r="AZ156" s="87"/>
      <c r="BA156" s="91" t="s">
        <v>863</v>
      </c>
      <c r="BB156" s="84"/>
      <c r="BC156" s="85"/>
      <c r="BD156" s="85"/>
    </row>
    <row r="157" spans="1:56" s="86" customFormat="1" ht="46.5" customHeight="1">
      <c r="A157" s="87">
        <v>152</v>
      </c>
      <c r="B157" s="79" t="s">
        <v>271</v>
      </c>
      <c r="C157" s="88">
        <v>45371</v>
      </c>
      <c r="D157" s="89">
        <v>0.33333333333333331</v>
      </c>
      <c r="E157" s="87" t="s">
        <v>58</v>
      </c>
      <c r="F157" s="87" t="s">
        <v>61</v>
      </c>
      <c r="G157" s="87" t="s">
        <v>95</v>
      </c>
      <c r="H157" s="90" t="s">
        <v>652</v>
      </c>
      <c r="I157" s="90" t="s">
        <v>172</v>
      </c>
      <c r="J157" s="87" t="s">
        <v>70</v>
      </c>
      <c r="K157" s="87" t="s">
        <v>71</v>
      </c>
      <c r="L157" s="90" t="s">
        <v>72</v>
      </c>
      <c r="M157" s="90" t="s">
        <v>72</v>
      </c>
      <c r="N157" s="90" t="s">
        <v>72</v>
      </c>
      <c r="O157" s="90" t="str">
        <f t="shared" si="12"/>
        <v>Distrital</v>
      </c>
      <c r="P157" s="87" t="s">
        <v>73</v>
      </c>
      <c r="Q157" s="87"/>
      <c r="R157" s="87"/>
      <c r="S157" s="87"/>
      <c r="T157" s="87"/>
      <c r="U157" s="87"/>
      <c r="V157" s="90" t="str">
        <f t="shared" si="13"/>
        <v>Distrital</v>
      </c>
      <c r="W157" s="87" t="s">
        <v>73</v>
      </c>
      <c r="X157" s="87"/>
      <c r="Y157" s="87"/>
      <c r="Z157" s="87"/>
      <c r="AA157" s="87"/>
      <c r="AB157" s="87"/>
      <c r="AC157" s="90" t="str">
        <f t="shared" si="14"/>
        <v>Distrital</v>
      </c>
      <c r="AD157" s="87" t="s">
        <v>73</v>
      </c>
      <c r="AE157" s="87"/>
      <c r="AF157" s="87"/>
      <c r="AG157" s="87"/>
      <c r="AH157" s="87"/>
      <c r="AI157" s="87"/>
      <c r="AJ157" s="87"/>
      <c r="AK157" s="87"/>
      <c r="AL157" s="87"/>
      <c r="AM157" s="87"/>
      <c r="AN157" s="90" t="s">
        <v>160</v>
      </c>
      <c r="AO157" s="92" t="s">
        <v>864</v>
      </c>
      <c r="AP157" s="82"/>
      <c r="AQ157" s="87" t="s">
        <v>60</v>
      </c>
      <c r="AR157" s="87" t="s">
        <v>77</v>
      </c>
      <c r="AS157" s="82"/>
      <c r="AT157" s="87">
        <v>15</v>
      </c>
      <c r="AU157" s="87">
        <v>14</v>
      </c>
      <c r="AV157" s="87">
        <f t="shared" si="5"/>
        <v>29</v>
      </c>
      <c r="AW157" s="87" t="str">
        <f t="shared" si="20"/>
        <v>No Aplica</v>
      </c>
      <c r="AX157" s="87" t="s">
        <v>78</v>
      </c>
      <c r="AY157" s="87"/>
      <c r="AZ157" s="87"/>
      <c r="BA157" s="91" t="s">
        <v>865</v>
      </c>
      <c r="BB157" s="84"/>
      <c r="BC157" s="85"/>
      <c r="BD157" s="85"/>
    </row>
    <row r="158" spans="1:56" s="86" customFormat="1" ht="46.5" customHeight="1">
      <c r="A158" s="78">
        <v>153</v>
      </c>
      <c r="B158" s="79" t="s">
        <v>866</v>
      </c>
      <c r="C158" s="88">
        <v>45371</v>
      </c>
      <c r="D158" s="89">
        <v>0.375</v>
      </c>
      <c r="E158" s="87" t="s">
        <v>58</v>
      </c>
      <c r="F158" s="87" t="s">
        <v>61</v>
      </c>
      <c r="G158" s="87" t="s">
        <v>62</v>
      </c>
      <c r="H158" s="90" t="s">
        <v>815</v>
      </c>
      <c r="I158" s="90" t="s">
        <v>172</v>
      </c>
      <c r="J158" s="87" t="s">
        <v>816</v>
      </c>
      <c r="K158" s="87"/>
      <c r="L158" s="90" t="s">
        <v>72</v>
      </c>
      <c r="M158" s="90" t="s">
        <v>72</v>
      </c>
      <c r="N158" s="90" t="s">
        <v>72</v>
      </c>
      <c r="O158" s="90" t="str">
        <f t="shared" si="12"/>
        <v>Distrital</v>
      </c>
      <c r="P158" s="87" t="s">
        <v>73</v>
      </c>
      <c r="Q158" s="87"/>
      <c r="R158" s="87"/>
      <c r="S158" s="87"/>
      <c r="T158" s="87"/>
      <c r="U158" s="87"/>
      <c r="V158" s="90" t="str">
        <f t="shared" si="13"/>
        <v>Distrital</v>
      </c>
      <c r="W158" s="87" t="s">
        <v>73</v>
      </c>
      <c r="X158" s="87"/>
      <c r="Y158" s="87"/>
      <c r="Z158" s="87"/>
      <c r="AA158" s="87"/>
      <c r="AB158" s="87"/>
      <c r="AC158" s="90" t="str">
        <f t="shared" si="14"/>
        <v>Distrital</v>
      </c>
      <c r="AD158" s="87" t="s">
        <v>73</v>
      </c>
      <c r="AE158" s="87"/>
      <c r="AF158" s="87"/>
      <c r="AG158" s="87"/>
      <c r="AH158" s="87"/>
      <c r="AI158" s="87"/>
      <c r="AJ158" s="87"/>
      <c r="AK158" s="87"/>
      <c r="AL158" s="87"/>
      <c r="AM158" s="87"/>
      <c r="AN158" s="90" t="s">
        <v>160</v>
      </c>
      <c r="AO158" s="90" t="s">
        <v>867</v>
      </c>
      <c r="AP158" s="82"/>
      <c r="AQ158" s="87" t="s">
        <v>60</v>
      </c>
      <c r="AR158" s="87" t="s">
        <v>398</v>
      </c>
      <c r="AS158" s="82"/>
      <c r="AT158" s="87">
        <v>49</v>
      </c>
      <c r="AU158" s="87">
        <v>1</v>
      </c>
      <c r="AV158" s="87">
        <f t="shared" si="5"/>
        <v>50</v>
      </c>
      <c r="AW158" s="87" t="str">
        <f t="shared" si="20"/>
        <v>Contenidos adaptados</v>
      </c>
      <c r="AX158" s="87" t="s">
        <v>212</v>
      </c>
      <c r="AY158" s="87"/>
      <c r="AZ158" s="87"/>
      <c r="BA158" s="91" t="s">
        <v>818</v>
      </c>
      <c r="BB158" s="84"/>
      <c r="BC158" s="85"/>
      <c r="BD158" s="85"/>
    </row>
    <row r="159" spans="1:56" s="86" customFormat="1" ht="46.5" customHeight="1">
      <c r="A159" s="87">
        <v>154</v>
      </c>
      <c r="B159" s="79" t="s">
        <v>330</v>
      </c>
      <c r="C159" s="88">
        <v>45371</v>
      </c>
      <c r="D159" s="89">
        <v>0.58333333333333337</v>
      </c>
      <c r="E159" s="87" t="s">
        <v>93</v>
      </c>
      <c r="F159" s="87" t="s">
        <v>321</v>
      </c>
      <c r="G159" s="87" t="s">
        <v>95</v>
      </c>
      <c r="H159" s="90" t="s">
        <v>868</v>
      </c>
      <c r="I159" s="90" t="s">
        <v>64</v>
      </c>
      <c r="J159" s="87" t="s">
        <v>70</v>
      </c>
      <c r="K159" s="87" t="s">
        <v>324</v>
      </c>
      <c r="L159" s="90" t="s">
        <v>869</v>
      </c>
      <c r="M159" s="91" t="s">
        <v>870</v>
      </c>
      <c r="N159" s="90" t="s">
        <v>333</v>
      </c>
      <c r="O159" s="90" t="str">
        <f t="shared" si="12"/>
        <v>Ciudad Bolívar</v>
      </c>
      <c r="P159" s="87" t="s">
        <v>107</v>
      </c>
      <c r="Q159" s="87"/>
      <c r="R159" s="87"/>
      <c r="S159" s="87"/>
      <c r="T159" s="87"/>
      <c r="U159" s="87"/>
      <c r="V159" s="90" t="str">
        <f t="shared" si="13"/>
        <v>Suroriente, Ruralidad</v>
      </c>
      <c r="W159" s="87" t="s">
        <v>108</v>
      </c>
      <c r="X159" s="87" t="s">
        <v>109</v>
      </c>
      <c r="Y159" s="87"/>
      <c r="Z159" s="87"/>
      <c r="AA159" s="87"/>
      <c r="AB159" s="87"/>
      <c r="AC159" s="90" t="str">
        <f t="shared" si="14"/>
        <v>Lucero, Arborizadora, Cuenca del Tunjuelo</v>
      </c>
      <c r="AD159" s="87" t="s">
        <v>111</v>
      </c>
      <c r="AE159" s="87" t="s">
        <v>110</v>
      </c>
      <c r="AF159" s="87" t="s">
        <v>112</v>
      </c>
      <c r="AG159" s="87"/>
      <c r="AH159" s="87"/>
      <c r="AI159" s="87"/>
      <c r="AJ159" s="87"/>
      <c r="AK159" s="87"/>
      <c r="AL159" s="87"/>
      <c r="AM159" s="87"/>
      <c r="AN159" s="90" t="s">
        <v>160</v>
      </c>
      <c r="AO159" s="94" t="s">
        <v>871</v>
      </c>
      <c r="AP159" s="82"/>
      <c r="AQ159" s="87" t="s">
        <v>59</v>
      </c>
      <c r="AR159" s="87" t="s">
        <v>80</v>
      </c>
      <c r="AS159" s="82"/>
      <c r="AT159" s="87">
        <v>12</v>
      </c>
      <c r="AU159" s="87">
        <v>1</v>
      </c>
      <c r="AV159" s="87">
        <f t="shared" si="5"/>
        <v>13</v>
      </c>
      <c r="AW159" s="87" t="str">
        <f t="shared" si="20"/>
        <v>No Aplica</v>
      </c>
      <c r="AX159" s="87" t="s">
        <v>78</v>
      </c>
      <c r="AY159" s="87"/>
      <c r="AZ159" s="87"/>
      <c r="BA159" s="91" t="s">
        <v>872</v>
      </c>
      <c r="BB159" s="84"/>
      <c r="BC159" s="85"/>
      <c r="BD159" s="85"/>
    </row>
    <row r="160" spans="1:56" s="86" customFormat="1" ht="46.5" customHeight="1">
      <c r="A160" s="78">
        <v>155</v>
      </c>
      <c r="B160" s="79" t="s">
        <v>873</v>
      </c>
      <c r="C160" s="88">
        <v>45371</v>
      </c>
      <c r="D160" s="89">
        <v>0.625</v>
      </c>
      <c r="E160" s="87" t="s">
        <v>58</v>
      </c>
      <c r="F160" s="87" t="s">
        <v>61</v>
      </c>
      <c r="G160" s="87" t="s">
        <v>62</v>
      </c>
      <c r="H160" s="90" t="s">
        <v>392</v>
      </c>
      <c r="I160" s="90" t="s">
        <v>172</v>
      </c>
      <c r="J160" s="87" t="s">
        <v>173</v>
      </c>
      <c r="K160" s="87"/>
      <c r="L160" s="90" t="s">
        <v>874</v>
      </c>
      <c r="M160" s="90">
        <v>3158150513</v>
      </c>
      <c r="N160" s="90" t="s">
        <v>875</v>
      </c>
      <c r="O160" s="90" t="str">
        <f t="shared" si="12"/>
        <v>Suba</v>
      </c>
      <c r="P160" s="87" t="s">
        <v>394</v>
      </c>
      <c r="Q160" s="87"/>
      <c r="R160" s="87"/>
      <c r="S160" s="87"/>
      <c r="T160" s="87"/>
      <c r="U160" s="87"/>
      <c r="V160" s="90" t="str">
        <f t="shared" si="13"/>
        <v>Norte</v>
      </c>
      <c r="W160" s="87" t="s">
        <v>429</v>
      </c>
      <c r="X160" s="87"/>
      <c r="Y160" s="87"/>
      <c r="Z160" s="87"/>
      <c r="AA160" s="87"/>
      <c r="AB160" s="87"/>
      <c r="AC160" s="90" t="str">
        <f t="shared" si="14"/>
        <v>Britalia</v>
      </c>
      <c r="AD160" s="87" t="s">
        <v>876</v>
      </c>
      <c r="AE160" s="87"/>
      <c r="AF160" s="87"/>
      <c r="AG160" s="87"/>
      <c r="AH160" s="87"/>
      <c r="AI160" s="87"/>
      <c r="AJ160" s="87"/>
      <c r="AK160" s="87"/>
      <c r="AL160" s="87"/>
      <c r="AM160" s="87"/>
      <c r="AN160" s="90" t="s">
        <v>160</v>
      </c>
      <c r="AO160" s="90" t="s">
        <v>877</v>
      </c>
      <c r="AP160" s="82"/>
      <c r="AQ160" s="87" t="s">
        <v>60</v>
      </c>
      <c r="AR160" s="87" t="s">
        <v>398</v>
      </c>
      <c r="AS160" s="82"/>
      <c r="AT160" s="87">
        <v>52</v>
      </c>
      <c r="AU160" s="87">
        <v>18</v>
      </c>
      <c r="AV160" s="87">
        <f t="shared" si="5"/>
        <v>70</v>
      </c>
      <c r="AW160" s="87" t="str">
        <f t="shared" si="20"/>
        <v>Ninguna</v>
      </c>
      <c r="AX160" s="87" t="s">
        <v>75</v>
      </c>
      <c r="AY160" s="87"/>
      <c r="AZ160" s="87"/>
      <c r="BA160" s="91" t="s">
        <v>878</v>
      </c>
      <c r="BB160" s="84"/>
      <c r="BC160" s="85"/>
      <c r="BD160" s="85"/>
    </row>
    <row r="161" spans="1:56" s="86" customFormat="1" ht="46.5" customHeight="1">
      <c r="A161" s="87">
        <v>156</v>
      </c>
      <c r="B161" s="79" t="s">
        <v>879</v>
      </c>
      <c r="C161" s="88">
        <v>45371</v>
      </c>
      <c r="D161" s="89">
        <v>0.625</v>
      </c>
      <c r="E161" s="87" t="s">
        <v>93</v>
      </c>
      <c r="F161" s="87" t="s">
        <v>102</v>
      </c>
      <c r="G161" s="87" t="s">
        <v>95</v>
      </c>
      <c r="H161" s="90" t="s">
        <v>880</v>
      </c>
      <c r="I161" s="90" t="s">
        <v>118</v>
      </c>
      <c r="J161" s="87" t="s">
        <v>119</v>
      </c>
      <c r="K161" s="87" t="s">
        <v>129</v>
      </c>
      <c r="L161" s="90" t="s">
        <v>881</v>
      </c>
      <c r="M161" s="91" t="s">
        <v>882</v>
      </c>
      <c r="N161" s="90" t="s">
        <v>883</v>
      </c>
      <c r="O161" s="90" t="str">
        <f t="shared" si="12"/>
        <v>Distrital</v>
      </c>
      <c r="P161" s="87" t="s">
        <v>73</v>
      </c>
      <c r="Q161" s="87"/>
      <c r="R161" s="87"/>
      <c r="S161" s="87"/>
      <c r="T161" s="87"/>
      <c r="U161" s="87"/>
      <c r="V161" s="90" t="str">
        <f t="shared" si="13"/>
        <v>Distrital</v>
      </c>
      <c r="W161" s="87" t="s">
        <v>73</v>
      </c>
      <c r="X161" s="87"/>
      <c r="Y161" s="87"/>
      <c r="Z161" s="87"/>
      <c r="AA161" s="87"/>
      <c r="AB161" s="87"/>
      <c r="AC161" s="90" t="str">
        <f t="shared" si="14"/>
        <v>Distrital</v>
      </c>
      <c r="AD161" s="87" t="s">
        <v>73</v>
      </c>
      <c r="AE161" s="87"/>
      <c r="AF161" s="87"/>
      <c r="AG161" s="87"/>
      <c r="AH161" s="87"/>
      <c r="AI161" s="87"/>
      <c r="AJ161" s="87"/>
      <c r="AK161" s="87"/>
      <c r="AL161" s="87"/>
      <c r="AM161" s="87"/>
      <c r="AN161" s="90" t="s">
        <v>160</v>
      </c>
      <c r="AO161" s="92" t="s">
        <v>884</v>
      </c>
      <c r="AP161" s="82"/>
      <c r="AQ161" s="87" t="s">
        <v>59</v>
      </c>
      <c r="AR161" s="87" t="s">
        <v>80</v>
      </c>
      <c r="AS161" s="82"/>
      <c r="AT161" s="87">
        <v>8</v>
      </c>
      <c r="AU161" s="87">
        <v>1</v>
      </c>
      <c r="AV161" s="87">
        <f t="shared" si="5"/>
        <v>9</v>
      </c>
      <c r="AW161" s="87" t="str">
        <f t="shared" si="20"/>
        <v>No Aplica</v>
      </c>
      <c r="AX161" s="87" t="s">
        <v>78</v>
      </c>
      <c r="AY161" s="87"/>
      <c r="AZ161" s="87"/>
      <c r="BA161" s="91" t="s">
        <v>885</v>
      </c>
      <c r="BB161" s="84"/>
      <c r="BC161" s="85"/>
      <c r="BD161" s="85"/>
    </row>
    <row r="162" spans="1:56" s="86" customFormat="1" ht="46.5" customHeight="1">
      <c r="A162" s="78">
        <v>157</v>
      </c>
      <c r="B162" s="79" t="s">
        <v>689</v>
      </c>
      <c r="C162" s="88">
        <v>45371</v>
      </c>
      <c r="D162" s="89">
        <v>0.70833333333333337</v>
      </c>
      <c r="E162" s="87" t="s">
        <v>93</v>
      </c>
      <c r="F162" s="87" t="s">
        <v>102</v>
      </c>
      <c r="G162" s="87" t="s">
        <v>95</v>
      </c>
      <c r="H162" s="90" t="s">
        <v>886</v>
      </c>
      <c r="I162" s="90" t="s">
        <v>118</v>
      </c>
      <c r="J162" s="87" t="s">
        <v>119</v>
      </c>
      <c r="K162" s="87" t="s">
        <v>129</v>
      </c>
      <c r="L162" s="90" t="s">
        <v>691</v>
      </c>
      <c r="M162" s="91">
        <v>3013090210</v>
      </c>
      <c r="N162" s="90" t="s">
        <v>692</v>
      </c>
      <c r="O162" s="90" t="str">
        <f t="shared" si="12"/>
        <v>Distrital</v>
      </c>
      <c r="P162" s="87" t="s">
        <v>73</v>
      </c>
      <c r="Q162" s="87"/>
      <c r="R162" s="87"/>
      <c r="S162" s="87"/>
      <c r="T162" s="87"/>
      <c r="U162" s="87"/>
      <c r="V162" s="90" t="str">
        <f t="shared" si="13"/>
        <v>Distrital</v>
      </c>
      <c r="W162" s="87" t="s">
        <v>73</v>
      </c>
      <c r="X162" s="87"/>
      <c r="Y162" s="87"/>
      <c r="Z162" s="87"/>
      <c r="AA162" s="87"/>
      <c r="AB162" s="87"/>
      <c r="AC162" s="90" t="str">
        <f t="shared" si="14"/>
        <v>Distrital</v>
      </c>
      <c r="AD162" s="87" t="s">
        <v>73</v>
      </c>
      <c r="AE162" s="87"/>
      <c r="AF162" s="87"/>
      <c r="AG162" s="87"/>
      <c r="AH162" s="87"/>
      <c r="AI162" s="87"/>
      <c r="AJ162" s="87"/>
      <c r="AK162" s="87"/>
      <c r="AL162" s="87"/>
      <c r="AM162" s="87"/>
      <c r="AN162" s="90" t="s">
        <v>160</v>
      </c>
      <c r="AO162" s="92" t="s">
        <v>887</v>
      </c>
      <c r="AP162" s="82"/>
      <c r="AQ162" s="87" t="s">
        <v>60</v>
      </c>
      <c r="AR162" s="87" t="s">
        <v>77</v>
      </c>
      <c r="AS162" s="82"/>
      <c r="AT162" s="87">
        <v>13</v>
      </c>
      <c r="AU162" s="87">
        <v>1</v>
      </c>
      <c r="AV162" s="87">
        <f t="shared" si="5"/>
        <v>14</v>
      </c>
      <c r="AW162" s="87" t="str">
        <f t="shared" si="20"/>
        <v>No Aplica</v>
      </c>
      <c r="AX162" s="87" t="s">
        <v>78</v>
      </c>
      <c r="AY162" s="87"/>
      <c r="AZ162" s="87"/>
      <c r="BA162" s="91" t="s">
        <v>888</v>
      </c>
      <c r="BB162" s="84"/>
      <c r="BC162" s="85"/>
      <c r="BD162" s="85"/>
    </row>
    <row r="163" spans="1:56" s="86" customFormat="1" ht="46.5" customHeight="1">
      <c r="A163" s="87">
        <v>158</v>
      </c>
      <c r="B163" s="79" t="s">
        <v>889</v>
      </c>
      <c r="C163" s="88">
        <v>45371</v>
      </c>
      <c r="D163" s="89">
        <v>0.75</v>
      </c>
      <c r="E163" s="87" t="s">
        <v>93</v>
      </c>
      <c r="F163" s="87" t="s">
        <v>102</v>
      </c>
      <c r="G163" s="87" t="s">
        <v>95</v>
      </c>
      <c r="H163" s="90" t="s">
        <v>890</v>
      </c>
      <c r="I163" s="90" t="s">
        <v>118</v>
      </c>
      <c r="J163" s="87" t="s">
        <v>119</v>
      </c>
      <c r="K163" s="87" t="s">
        <v>129</v>
      </c>
      <c r="L163" s="90" t="s">
        <v>891</v>
      </c>
      <c r="M163" s="91">
        <v>3244150125</v>
      </c>
      <c r="N163" s="90" t="s">
        <v>892</v>
      </c>
      <c r="O163" s="90" t="str">
        <f t="shared" si="12"/>
        <v>Distrital</v>
      </c>
      <c r="P163" s="87" t="s">
        <v>73</v>
      </c>
      <c r="Q163" s="87"/>
      <c r="R163" s="87"/>
      <c r="S163" s="87"/>
      <c r="T163" s="87"/>
      <c r="U163" s="87"/>
      <c r="V163" s="90" t="str">
        <f t="shared" si="13"/>
        <v>Distrital</v>
      </c>
      <c r="W163" s="87" t="s">
        <v>73</v>
      </c>
      <c r="X163" s="87"/>
      <c r="Y163" s="87"/>
      <c r="Z163" s="87"/>
      <c r="AA163" s="87"/>
      <c r="AB163" s="87"/>
      <c r="AC163" s="90" t="str">
        <f t="shared" si="14"/>
        <v>Distrital</v>
      </c>
      <c r="AD163" s="87" t="s">
        <v>73</v>
      </c>
      <c r="AE163" s="87"/>
      <c r="AF163" s="87"/>
      <c r="AG163" s="87"/>
      <c r="AH163" s="87"/>
      <c r="AI163" s="87"/>
      <c r="AJ163" s="87"/>
      <c r="AK163" s="87"/>
      <c r="AL163" s="87"/>
      <c r="AM163" s="87"/>
      <c r="AN163" s="90" t="s">
        <v>160</v>
      </c>
      <c r="AO163" s="92" t="s">
        <v>893</v>
      </c>
      <c r="AP163" s="82"/>
      <c r="AQ163" s="87" t="s">
        <v>59</v>
      </c>
      <c r="AR163" s="87" t="s">
        <v>80</v>
      </c>
      <c r="AS163" s="82"/>
      <c r="AT163" s="87">
        <v>22</v>
      </c>
      <c r="AU163" s="87">
        <v>1</v>
      </c>
      <c r="AV163" s="87">
        <f t="shared" si="5"/>
        <v>23</v>
      </c>
      <c r="AW163" s="87" t="str">
        <f t="shared" si="20"/>
        <v>Lenguaje de señas</v>
      </c>
      <c r="AX163" s="87" t="s">
        <v>211</v>
      </c>
      <c r="AY163" s="87"/>
      <c r="AZ163" s="87"/>
      <c r="BA163" s="91" t="s">
        <v>894</v>
      </c>
      <c r="BB163" s="84"/>
      <c r="BC163" s="85"/>
      <c r="BD163" s="85"/>
    </row>
    <row r="164" spans="1:56" s="86" customFormat="1" ht="46.5" customHeight="1">
      <c r="A164" s="78">
        <v>159</v>
      </c>
      <c r="B164" s="79" t="s">
        <v>895</v>
      </c>
      <c r="C164" s="88">
        <v>45371</v>
      </c>
      <c r="D164" s="89">
        <v>0.75</v>
      </c>
      <c r="E164" s="87" t="s">
        <v>93</v>
      </c>
      <c r="F164" s="87" t="s">
        <v>102</v>
      </c>
      <c r="G164" s="87" t="s">
        <v>95</v>
      </c>
      <c r="H164" s="90" t="s">
        <v>896</v>
      </c>
      <c r="I164" s="90" t="s">
        <v>118</v>
      </c>
      <c r="J164" s="87" t="s">
        <v>119</v>
      </c>
      <c r="K164" s="87" t="s">
        <v>129</v>
      </c>
      <c r="L164" s="90" t="s">
        <v>735</v>
      </c>
      <c r="M164" s="91">
        <v>3178255261</v>
      </c>
      <c r="N164" s="90" t="s">
        <v>736</v>
      </c>
      <c r="O164" s="90" t="str">
        <f t="shared" si="12"/>
        <v>Distrital</v>
      </c>
      <c r="P164" s="87" t="s">
        <v>73</v>
      </c>
      <c r="Q164" s="87"/>
      <c r="R164" s="87"/>
      <c r="S164" s="87"/>
      <c r="T164" s="87"/>
      <c r="U164" s="87"/>
      <c r="V164" s="90" t="str">
        <f t="shared" si="13"/>
        <v>Distrital</v>
      </c>
      <c r="W164" s="87" t="s">
        <v>73</v>
      </c>
      <c r="X164" s="87"/>
      <c r="Y164" s="87"/>
      <c r="Z164" s="87"/>
      <c r="AA164" s="87"/>
      <c r="AB164" s="87"/>
      <c r="AC164" s="90" t="str">
        <f t="shared" si="14"/>
        <v>Distrital</v>
      </c>
      <c r="AD164" s="87" t="s">
        <v>73</v>
      </c>
      <c r="AE164" s="87"/>
      <c r="AF164" s="87"/>
      <c r="AG164" s="87"/>
      <c r="AH164" s="87"/>
      <c r="AI164" s="87"/>
      <c r="AJ164" s="87"/>
      <c r="AK164" s="87"/>
      <c r="AL164" s="87"/>
      <c r="AM164" s="87"/>
      <c r="AN164" s="90" t="s">
        <v>160</v>
      </c>
      <c r="AO164" s="92" t="s">
        <v>897</v>
      </c>
      <c r="AP164" s="82"/>
      <c r="AQ164" s="87" t="s">
        <v>59</v>
      </c>
      <c r="AR164" s="87" t="s">
        <v>80</v>
      </c>
      <c r="AS164" s="82"/>
      <c r="AT164" s="87">
        <v>10</v>
      </c>
      <c r="AU164" s="87">
        <v>1</v>
      </c>
      <c r="AV164" s="87">
        <f t="shared" si="5"/>
        <v>11</v>
      </c>
      <c r="AW164" s="87" t="str">
        <f t="shared" si="20"/>
        <v>No Aplica</v>
      </c>
      <c r="AX164" s="87" t="s">
        <v>78</v>
      </c>
      <c r="AY164" s="87"/>
      <c r="AZ164" s="87"/>
      <c r="BA164" s="91" t="s">
        <v>898</v>
      </c>
      <c r="BB164" s="84"/>
      <c r="BC164" s="85"/>
      <c r="BD164" s="85"/>
    </row>
    <row r="165" spans="1:56" s="86" customFormat="1" ht="46.5" customHeight="1">
      <c r="A165" s="87">
        <v>160</v>
      </c>
      <c r="B165" s="79" t="s">
        <v>899</v>
      </c>
      <c r="C165" s="88">
        <v>45372</v>
      </c>
      <c r="D165" s="89">
        <v>0.33333333333333331</v>
      </c>
      <c r="E165" s="87" t="s">
        <v>58</v>
      </c>
      <c r="F165" s="87" t="s">
        <v>61</v>
      </c>
      <c r="G165" s="87" t="s">
        <v>62</v>
      </c>
      <c r="H165" s="90" t="s">
        <v>900</v>
      </c>
      <c r="I165" s="90" t="s">
        <v>64</v>
      </c>
      <c r="J165" s="87" t="s">
        <v>70</v>
      </c>
      <c r="K165" s="87" t="s">
        <v>71</v>
      </c>
      <c r="L165" s="90" t="s">
        <v>72</v>
      </c>
      <c r="M165" s="91" t="s">
        <v>72</v>
      </c>
      <c r="N165" s="90" t="s">
        <v>72</v>
      </c>
      <c r="O165" s="90" t="str">
        <f t="shared" si="12"/>
        <v>Distrital</v>
      </c>
      <c r="P165" s="87" t="s">
        <v>73</v>
      </c>
      <c r="Q165" s="87"/>
      <c r="R165" s="87"/>
      <c r="S165" s="87"/>
      <c r="T165" s="87"/>
      <c r="U165" s="87"/>
      <c r="V165" s="90" t="str">
        <f t="shared" si="13"/>
        <v>Distrital</v>
      </c>
      <c r="W165" s="87" t="s">
        <v>73</v>
      </c>
      <c r="X165" s="87"/>
      <c r="Y165" s="87"/>
      <c r="Z165" s="87"/>
      <c r="AA165" s="87"/>
      <c r="AB165" s="87"/>
      <c r="AC165" s="90" t="str">
        <f t="shared" si="14"/>
        <v>Distrital</v>
      </c>
      <c r="AD165" s="87" t="s">
        <v>73</v>
      </c>
      <c r="AE165" s="87"/>
      <c r="AF165" s="87"/>
      <c r="AG165" s="87"/>
      <c r="AH165" s="87"/>
      <c r="AI165" s="87"/>
      <c r="AJ165" s="87"/>
      <c r="AK165" s="87"/>
      <c r="AL165" s="87"/>
      <c r="AM165" s="87"/>
      <c r="AN165" s="90" t="s">
        <v>160</v>
      </c>
      <c r="AO165" s="90" t="s">
        <v>901</v>
      </c>
      <c r="AP165" s="82"/>
      <c r="AQ165" s="87" t="s">
        <v>60</v>
      </c>
      <c r="AR165" s="87" t="s">
        <v>77</v>
      </c>
      <c r="AS165" s="82"/>
      <c r="AT165" s="87">
        <v>22</v>
      </c>
      <c r="AU165" s="87">
        <v>4</v>
      </c>
      <c r="AV165" s="87">
        <f t="shared" si="5"/>
        <v>26</v>
      </c>
      <c r="AW165" s="87" t="str">
        <f t="shared" si="20"/>
        <v>No Aplica</v>
      </c>
      <c r="AX165" s="87" t="s">
        <v>78</v>
      </c>
      <c r="AY165" s="87"/>
      <c r="AZ165" s="87"/>
      <c r="BA165" s="91" t="s">
        <v>902</v>
      </c>
      <c r="BB165" s="84"/>
      <c r="BC165" s="85"/>
      <c r="BD165" s="85"/>
    </row>
    <row r="166" spans="1:56" s="86" customFormat="1" ht="46.5" customHeight="1">
      <c r="A166" s="78">
        <v>161</v>
      </c>
      <c r="B166" s="79" t="s">
        <v>903</v>
      </c>
      <c r="C166" s="88">
        <v>45372</v>
      </c>
      <c r="D166" s="89">
        <v>0.375</v>
      </c>
      <c r="E166" s="87" t="s">
        <v>93</v>
      </c>
      <c r="F166" s="87" t="s">
        <v>102</v>
      </c>
      <c r="G166" s="87" t="s">
        <v>95</v>
      </c>
      <c r="H166" s="90" t="s">
        <v>904</v>
      </c>
      <c r="I166" s="90" t="s">
        <v>118</v>
      </c>
      <c r="J166" s="87" t="s">
        <v>119</v>
      </c>
      <c r="K166" s="87" t="s">
        <v>129</v>
      </c>
      <c r="L166" s="90" t="s">
        <v>905</v>
      </c>
      <c r="M166" s="91">
        <v>3212029774</v>
      </c>
      <c r="N166" s="90" t="s">
        <v>906</v>
      </c>
      <c r="O166" s="90" t="str">
        <f t="shared" si="12"/>
        <v>Distrital</v>
      </c>
      <c r="P166" s="87" t="s">
        <v>73</v>
      </c>
      <c r="Q166" s="87"/>
      <c r="R166" s="87"/>
      <c r="S166" s="87"/>
      <c r="T166" s="87"/>
      <c r="U166" s="87"/>
      <c r="V166" s="90" t="str">
        <f t="shared" si="13"/>
        <v>Distrital</v>
      </c>
      <c r="W166" s="87" t="s">
        <v>73</v>
      </c>
      <c r="X166" s="87"/>
      <c r="Y166" s="87"/>
      <c r="Z166" s="87"/>
      <c r="AA166" s="87"/>
      <c r="AB166" s="87"/>
      <c r="AC166" s="90" t="str">
        <f t="shared" si="14"/>
        <v>Distrital</v>
      </c>
      <c r="AD166" s="87" t="s">
        <v>73</v>
      </c>
      <c r="AE166" s="87"/>
      <c r="AF166" s="87"/>
      <c r="AG166" s="87"/>
      <c r="AH166" s="87"/>
      <c r="AI166" s="87"/>
      <c r="AJ166" s="87"/>
      <c r="AK166" s="87"/>
      <c r="AL166" s="87"/>
      <c r="AM166" s="87"/>
      <c r="AN166" s="90" t="s">
        <v>160</v>
      </c>
      <c r="AO166" s="92" t="s">
        <v>907</v>
      </c>
      <c r="AP166" s="82"/>
      <c r="AQ166" s="87" t="s">
        <v>59</v>
      </c>
      <c r="AR166" s="87" t="s">
        <v>80</v>
      </c>
      <c r="AS166" s="82"/>
      <c r="AT166" s="87">
        <v>31</v>
      </c>
      <c r="AU166" s="87">
        <v>1</v>
      </c>
      <c r="AV166" s="87">
        <f t="shared" si="5"/>
        <v>32</v>
      </c>
      <c r="AW166" s="87" t="str">
        <f t="shared" si="20"/>
        <v>No Aplica</v>
      </c>
      <c r="AX166" s="87" t="s">
        <v>78</v>
      </c>
      <c r="AY166" s="87"/>
      <c r="AZ166" s="87"/>
      <c r="BA166" s="91" t="s">
        <v>908</v>
      </c>
      <c r="BB166" s="84"/>
      <c r="BC166" s="85"/>
      <c r="BD166" s="85"/>
    </row>
    <row r="167" spans="1:56" s="86" customFormat="1" ht="46.5" customHeight="1">
      <c r="A167" s="87">
        <v>162</v>
      </c>
      <c r="B167" s="79" t="s">
        <v>909</v>
      </c>
      <c r="C167" s="88">
        <v>45372</v>
      </c>
      <c r="D167" s="89">
        <v>0.41666666666666669</v>
      </c>
      <c r="E167" s="87" t="s">
        <v>93</v>
      </c>
      <c r="F167" s="87" t="s">
        <v>321</v>
      </c>
      <c r="G167" s="87" t="s">
        <v>62</v>
      </c>
      <c r="H167" s="90" t="s">
        <v>910</v>
      </c>
      <c r="I167" s="90" t="s">
        <v>64</v>
      </c>
      <c r="J167" s="87" t="s">
        <v>70</v>
      </c>
      <c r="K167" s="87" t="s">
        <v>324</v>
      </c>
      <c r="L167" s="90" t="s">
        <v>911</v>
      </c>
      <c r="M167" s="91" t="s">
        <v>912</v>
      </c>
      <c r="N167" s="90" t="s">
        <v>913</v>
      </c>
      <c r="O167" s="90" t="str">
        <f t="shared" si="12"/>
        <v>Tunjuelito</v>
      </c>
      <c r="P167" s="87" t="s">
        <v>618</v>
      </c>
      <c r="Q167" s="87"/>
      <c r="R167" s="87"/>
      <c r="S167" s="87"/>
      <c r="T167" s="87"/>
      <c r="U167" s="87"/>
      <c r="V167" s="90" t="str">
        <f t="shared" si="13"/>
        <v>Suroriente</v>
      </c>
      <c r="W167" s="87" t="s">
        <v>108</v>
      </c>
      <c r="X167" s="87"/>
      <c r="Y167" s="87"/>
      <c r="Z167" s="87"/>
      <c r="AA167" s="87"/>
      <c r="AB167" s="87"/>
      <c r="AC167" s="90" t="str">
        <f t="shared" si="14"/>
        <v>Tunjuelito, Arborizadora</v>
      </c>
      <c r="AD167" s="87" t="s">
        <v>618</v>
      </c>
      <c r="AE167" s="87" t="s">
        <v>110</v>
      </c>
      <c r="AF167" s="87"/>
      <c r="AG167" s="87"/>
      <c r="AH167" s="87"/>
      <c r="AI167" s="87"/>
      <c r="AJ167" s="87"/>
      <c r="AK167" s="87"/>
      <c r="AL167" s="87"/>
      <c r="AM167" s="87"/>
      <c r="AN167" s="90" t="s">
        <v>160</v>
      </c>
      <c r="AO167" s="94" t="s">
        <v>914</v>
      </c>
      <c r="AP167" s="82"/>
      <c r="AQ167" s="87" t="s">
        <v>59</v>
      </c>
      <c r="AR167" s="87" t="s">
        <v>80</v>
      </c>
      <c r="AS167" s="82"/>
      <c r="AT167" s="87">
        <v>13</v>
      </c>
      <c r="AU167" s="87">
        <v>1</v>
      </c>
      <c r="AV167" s="87">
        <f t="shared" si="5"/>
        <v>14</v>
      </c>
      <c r="AW167" s="87" t="str">
        <f t="shared" si="20"/>
        <v>No Aplica</v>
      </c>
      <c r="AX167" s="87" t="s">
        <v>78</v>
      </c>
      <c r="AY167" s="87"/>
      <c r="AZ167" s="87"/>
      <c r="BA167" s="91" t="s">
        <v>915</v>
      </c>
      <c r="BB167" s="84"/>
      <c r="BC167" s="85"/>
      <c r="BD167" s="85"/>
    </row>
    <row r="168" spans="1:56" s="86" customFormat="1" ht="46.5" customHeight="1">
      <c r="A168" s="78">
        <v>163</v>
      </c>
      <c r="B168" s="79" t="s">
        <v>916</v>
      </c>
      <c r="C168" s="88">
        <v>45372</v>
      </c>
      <c r="D168" s="89">
        <v>0.58333333333333337</v>
      </c>
      <c r="E168" s="87" t="s">
        <v>58</v>
      </c>
      <c r="F168" s="87" t="s">
        <v>61</v>
      </c>
      <c r="G168" s="87" t="s">
        <v>62</v>
      </c>
      <c r="H168" s="90" t="s">
        <v>917</v>
      </c>
      <c r="I168" s="90" t="s">
        <v>64</v>
      </c>
      <c r="J168" s="87" t="s">
        <v>173</v>
      </c>
      <c r="K168" s="87"/>
      <c r="L168" s="90" t="s">
        <v>918</v>
      </c>
      <c r="M168" s="90" t="s">
        <v>919</v>
      </c>
      <c r="N168" s="90" t="s">
        <v>920</v>
      </c>
      <c r="O168" s="90" t="str">
        <f t="shared" si="12"/>
        <v>Usme</v>
      </c>
      <c r="P168" s="87" t="s">
        <v>670</v>
      </c>
      <c r="Q168" s="87"/>
      <c r="R168" s="87"/>
      <c r="S168" s="87"/>
      <c r="T168" s="87"/>
      <c r="U168" s="87"/>
      <c r="V168" s="90" t="str">
        <f t="shared" si="13"/>
        <v>Ruralidad</v>
      </c>
      <c r="W168" s="87" t="s">
        <v>109</v>
      </c>
      <c r="X168" s="87"/>
      <c r="Y168" s="87"/>
      <c r="Z168" s="87"/>
      <c r="AA168" s="87"/>
      <c r="AB168" s="87"/>
      <c r="AC168" s="90" t="str">
        <f t="shared" si="14"/>
        <v>Cuenca del Tunjuelo</v>
      </c>
      <c r="AD168" s="87" t="s">
        <v>112</v>
      </c>
      <c r="AE168" s="87"/>
      <c r="AF168" s="87"/>
      <c r="AG168" s="87"/>
      <c r="AH168" s="87"/>
      <c r="AI168" s="87"/>
      <c r="AJ168" s="87"/>
      <c r="AK168" s="87"/>
      <c r="AL168" s="87"/>
      <c r="AM168" s="87"/>
      <c r="AN168" s="90" t="s">
        <v>921</v>
      </c>
      <c r="AO168" s="90" t="s">
        <v>922</v>
      </c>
      <c r="AP168" s="82"/>
      <c r="AQ168" s="87" t="s">
        <v>60</v>
      </c>
      <c r="AR168" s="87" t="s">
        <v>77</v>
      </c>
      <c r="AS168" s="82"/>
      <c r="AT168" s="87">
        <v>150</v>
      </c>
      <c r="AU168" s="87">
        <v>1</v>
      </c>
      <c r="AV168" s="87">
        <f t="shared" si="5"/>
        <v>151</v>
      </c>
      <c r="AW168" s="87" t="str">
        <f t="shared" si="20"/>
        <v>No Aplica</v>
      </c>
      <c r="AX168" s="87" t="s">
        <v>78</v>
      </c>
      <c r="AY168" s="87"/>
      <c r="AZ168" s="87"/>
      <c r="BA168" s="91" t="s">
        <v>61</v>
      </c>
      <c r="BB168" s="84"/>
      <c r="BC168" s="85"/>
      <c r="BD168" s="85"/>
    </row>
    <row r="169" spans="1:56" s="86" customFormat="1" ht="46.5" customHeight="1">
      <c r="A169" s="87">
        <v>164</v>
      </c>
      <c r="B169" s="79" t="s">
        <v>853</v>
      </c>
      <c r="C169" s="88">
        <v>45372</v>
      </c>
      <c r="D169" s="89">
        <v>0.625</v>
      </c>
      <c r="E169" s="87" t="s">
        <v>562</v>
      </c>
      <c r="F169" s="87" t="s">
        <v>61</v>
      </c>
      <c r="G169" s="87" t="s">
        <v>62</v>
      </c>
      <c r="H169" s="90" t="s">
        <v>923</v>
      </c>
      <c r="I169" s="90" t="s">
        <v>64</v>
      </c>
      <c r="J169" s="87" t="s">
        <v>173</v>
      </c>
      <c r="K169" s="87"/>
      <c r="L169" s="90" t="s">
        <v>855</v>
      </c>
      <c r="M169" s="91" t="s">
        <v>856</v>
      </c>
      <c r="N169" s="90" t="s">
        <v>857</v>
      </c>
      <c r="O169" s="90" t="str">
        <f t="shared" si="12"/>
        <v>Suba</v>
      </c>
      <c r="P169" s="87" t="s">
        <v>394</v>
      </c>
      <c r="Q169" s="87"/>
      <c r="R169" s="87"/>
      <c r="S169" s="87"/>
      <c r="T169" s="87"/>
      <c r="U169" s="87"/>
      <c r="V169" s="90" t="str">
        <f t="shared" si="13"/>
        <v>Noroccidente, Norte</v>
      </c>
      <c r="W169" s="87" t="s">
        <v>395</v>
      </c>
      <c r="X169" s="87" t="s">
        <v>429</v>
      </c>
      <c r="Y169" s="87"/>
      <c r="Z169" s="87"/>
      <c r="AA169" s="87"/>
      <c r="AB169" s="87"/>
      <c r="AC169" s="90" t="str">
        <f t="shared" si="14"/>
        <v>Suba, Suba Rincón, Tibabuyes, Niza, Britalia, Torca</v>
      </c>
      <c r="AD169" s="87" t="s">
        <v>394</v>
      </c>
      <c r="AE169" s="87" t="s">
        <v>396</v>
      </c>
      <c r="AF169" s="87" t="s">
        <v>924</v>
      </c>
      <c r="AG169" s="87" t="s">
        <v>571</v>
      </c>
      <c r="AH169" s="87" t="s">
        <v>876</v>
      </c>
      <c r="AI169" s="87" t="s">
        <v>528</v>
      </c>
      <c r="AJ169" s="87"/>
      <c r="AK169" s="87"/>
      <c r="AL169" s="87"/>
      <c r="AM169" s="87"/>
      <c r="AN169" s="90" t="s">
        <v>925</v>
      </c>
      <c r="AO169" s="90" t="s">
        <v>926</v>
      </c>
      <c r="AP169" s="82"/>
      <c r="AQ169" s="87" t="s">
        <v>59</v>
      </c>
      <c r="AR169" s="87" t="s">
        <v>80</v>
      </c>
      <c r="AS169" s="82"/>
      <c r="AT169" s="87">
        <v>15</v>
      </c>
      <c r="AU169" s="87">
        <v>7</v>
      </c>
      <c r="AV169" s="87">
        <f t="shared" ref="AV169" si="21">AT169+AU169</f>
        <v>22</v>
      </c>
      <c r="AW169" s="87" t="str">
        <f t="shared" ref="AW169" si="22">_xlfn.TEXTJOIN(", ",TRUE,$AX169:$AZ169)</f>
        <v>Ninguna</v>
      </c>
      <c r="AX169" s="87" t="s">
        <v>75</v>
      </c>
      <c r="AY169" s="87"/>
      <c r="AZ169" s="87"/>
      <c r="BA169" s="91" t="s">
        <v>927</v>
      </c>
      <c r="BB169" s="84"/>
      <c r="BC169" s="85"/>
      <c r="BD169" s="85"/>
    </row>
    <row r="170" spans="1:56" s="86" customFormat="1" ht="46.5" customHeight="1">
      <c r="A170" s="78">
        <v>165</v>
      </c>
      <c r="B170" s="79" t="s">
        <v>928</v>
      </c>
      <c r="C170" s="88">
        <v>45372</v>
      </c>
      <c r="D170" s="89">
        <v>0.625</v>
      </c>
      <c r="E170" s="87" t="s">
        <v>58</v>
      </c>
      <c r="F170" s="87" t="s">
        <v>61</v>
      </c>
      <c r="G170" s="87" t="s">
        <v>62</v>
      </c>
      <c r="H170" s="90" t="s">
        <v>392</v>
      </c>
      <c r="I170" s="90" t="s">
        <v>172</v>
      </c>
      <c r="J170" s="87" t="s">
        <v>173</v>
      </c>
      <c r="K170" s="87"/>
      <c r="L170" s="90" t="s">
        <v>72</v>
      </c>
      <c r="M170" s="90" t="s">
        <v>72</v>
      </c>
      <c r="N170" s="90" t="s">
        <v>72</v>
      </c>
      <c r="O170" s="90" t="str">
        <f t="shared" si="12"/>
        <v>Ciudad Bolívar, Tunjuelito</v>
      </c>
      <c r="P170" s="87" t="s">
        <v>107</v>
      </c>
      <c r="Q170" s="87" t="s">
        <v>618</v>
      </c>
      <c r="R170" s="87"/>
      <c r="S170" s="87"/>
      <c r="T170" s="87"/>
      <c r="U170" s="87"/>
      <c r="V170" s="90" t="str">
        <f t="shared" si="13"/>
        <v>Suroriente</v>
      </c>
      <c r="W170" s="87" t="s">
        <v>108</v>
      </c>
      <c r="X170" s="87"/>
      <c r="Y170" s="87"/>
      <c r="Z170" s="87"/>
      <c r="AA170" s="87"/>
      <c r="AB170" s="87"/>
      <c r="AC170" s="90" t="str">
        <f t="shared" si="14"/>
        <v>Arborizadora</v>
      </c>
      <c r="AD170" s="87" t="s">
        <v>110</v>
      </c>
      <c r="AE170" s="87"/>
      <c r="AF170" s="87"/>
      <c r="AG170" s="87"/>
      <c r="AH170" s="87"/>
      <c r="AI170" s="87"/>
      <c r="AJ170" s="87"/>
      <c r="AK170" s="87"/>
      <c r="AL170" s="87"/>
      <c r="AM170" s="87"/>
      <c r="AN170" s="90" t="s">
        <v>160</v>
      </c>
      <c r="AO170" s="90" t="s">
        <v>930</v>
      </c>
      <c r="AP170" s="82"/>
      <c r="AQ170" s="87" t="s">
        <v>60</v>
      </c>
      <c r="AR170" s="87" t="s">
        <v>398</v>
      </c>
      <c r="AS170" s="82"/>
      <c r="AT170" s="87">
        <v>75</v>
      </c>
      <c r="AU170" s="87">
        <v>19</v>
      </c>
      <c r="AV170" s="87">
        <f t="shared" si="5"/>
        <v>94</v>
      </c>
      <c r="AW170" s="87" t="str">
        <f t="shared" ref="AW170:AW216" si="23">_xlfn.TEXTJOIN(", ",TRUE,$AX170:$AZ170)</f>
        <v>Lenguaje de señas, Horarios Acordes</v>
      </c>
      <c r="AX170" s="87" t="s">
        <v>211</v>
      </c>
      <c r="AY170" s="87" t="s">
        <v>213</v>
      </c>
      <c r="AZ170" s="87"/>
      <c r="BA170" s="91" t="s">
        <v>931</v>
      </c>
      <c r="BB170" s="84"/>
      <c r="BC170" s="85"/>
      <c r="BD170" s="85"/>
    </row>
    <row r="171" spans="1:56" s="86" customFormat="1" ht="46.5" customHeight="1">
      <c r="A171" s="87">
        <v>166</v>
      </c>
      <c r="B171" s="79" t="s">
        <v>932</v>
      </c>
      <c r="C171" s="88">
        <v>45372</v>
      </c>
      <c r="D171" s="89">
        <v>0.66666666666666663</v>
      </c>
      <c r="E171" s="87" t="s">
        <v>58</v>
      </c>
      <c r="F171" s="87" t="s">
        <v>61</v>
      </c>
      <c r="G171" s="87" t="s">
        <v>95</v>
      </c>
      <c r="H171" s="90" t="s">
        <v>933</v>
      </c>
      <c r="I171" s="90" t="s">
        <v>64</v>
      </c>
      <c r="J171" s="87" t="s">
        <v>119</v>
      </c>
      <c r="K171" s="87"/>
      <c r="L171" s="90" t="s">
        <v>934</v>
      </c>
      <c r="M171" s="91">
        <v>3013874603</v>
      </c>
      <c r="N171" s="90" t="s">
        <v>935</v>
      </c>
      <c r="O171" s="90" t="str">
        <f t="shared" si="12"/>
        <v>Distrital</v>
      </c>
      <c r="P171" s="87" t="s">
        <v>73</v>
      </c>
      <c r="Q171" s="87"/>
      <c r="R171" s="87"/>
      <c r="S171" s="87"/>
      <c r="T171" s="87"/>
      <c r="U171" s="87"/>
      <c r="V171" s="90" t="str">
        <f t="shared" si="13"/>
        <v>Distrital</v>
      </c>
      <c r="W171" s="87" t="s">
        <v>73</v>
      </c>
      <c r="X171" s="87"/>
      <c r="Y171" s="87"/>
      <c r="Z171" s="87"/>
      <c r="AA171" s="87"/>
      <c r="AB171" s="87"/>
      <c r="AC171" s="90" t="str">
        <f t="shared" si="14"/>
        <v>Distrital</v>
      </c>
      <c r="AD171" s="87" t="s">
        <v>73</v>
      </c>
      <c r="AE171" s="87"/>
      <c r="AF171" s="87"/>
      <c r="AG171" s="87"/>
      <c r="AH171" s="87"/>
      <c r="AI171" s="87"/>
      <c r="AJ171" s="87"/>
      <c r="AK171" s="87"/>
      <c r="AL171" s="87"/>
      <c r="AM171" s="87"/>
      <c r="AN171" s="90" t="s">
        <v>160</v>
      </c>
      <c r="AO171" s="92" t="s">
        <v>936</v>
      </c>
      <c r="AP171" s="82"/>
      <c r="AQ171" s="87" t="s">
        <v>60</v>
      </c>
      <c r="AR171" s="87" t="s">
        <v>77</v>
      </c>
      <c r="AS171" s="82"/>
      <c r="AT171" s="87">
        <v>2</v>
      </c>
      <c r="AU171" s="87">
        <v>1</v>
      </c>
      <c r="AV171" s="87">
        <f t="shared" si="5"/>
        <v>3</v>
      </c>
      <c r="AW171" s="87" t="str">
        <f t="shared" si="23"/>
        <v>No Aplica</v>
      </c>
      <c r="AX171" s="87" t="s">
        <v>78</v>
      </c>
      <c r="AY171" s="87"/>
      <c r="AZ171" s="87"/>
      <c r="BA171" s="91" t="s">
        <v>937</v>
      </c>
      <c r="BB171" s="84"/>
      <c r="BC171" s="85"/>
      <c r="BD171" s="85"/>
    </row>
    <row r="172" spans="1:56" s="86" customFormat="1" ht="46.5" customHeight="1">
      <c r="A172" s="78">
        <v>167</v>
      </c>
      <c r="B172" s="79" t="s">
        <v>938</v>
      </c>
      <c r="C172" s="88">
        <v>45372</v>
      </c>
      <c r="D172" s="89">
        <v>0.70833333333333337</v>
      </c>
      <c r="E172" s="87" t="s">
        <v>58</v>
      </c>
      <c r="F172" s="87" t="s">
        <v>61</v>
      </c>
      <c r="G172" s="87" t="s">
        <v>62</v>
      </c>
      <c r="H172" s="90" t="s">
        <v>939</v>
      </c>
      <c r="I172" s="90" t="s">
        <v>172</v>
      </c>
      <c r="J172" s="87" t="s">
        <v>119</v>
      </c>
      <c r="K172" s="87" t="s">
        <v>610</v>
      </c>
      <c r="L172" s="90" t="s">
        <v>940</v>
      </c>
      <c r="M172" s="91">
        <v>3148396805</v>
      </c>
      <c r="N172" s="90" t="s">
        <v>941</v>
      </c>
      <c r="O172" s="90" t="str">
        <f t="shared" si="12"/>
        <v>Distrital</v>
      </c>
      <c r="P172" s="87" t="s">
        <v>73</v>
      </c>
      <c r="Q172" s="87"/>
      <c r="R172" s="87"/>
      <c r="S172" s="87"/>
      <c r="T172" s="87"/>
      <c r="U172" s="87"/>
      <c r="V172" s="90" t="str">
        <f t="shared" si="13"/>
        <v>Distrital</v>
      </c>
      <c r="W172" s="87" t="s">
        <v>73</v>
      </c>
      <c r="X172" s="87"/>
      <c r="Y172" s="87"/>
      <c r="Z172" s="87"/>
      <c r="AA172" s="87"/>
      <c r="AB172" s="87"/>
      <c r="AC172" s="90" t="str">
        <f t="shared" si="14"/>
        <v>Distrital</v>
      </c>
      <c r="AD172" s="87" t="s">
        <v>73</v>
      </c>
      <c r="AE172" s="87"/>
      <c r="AF172" s="87"/>
      <c r="AG172" s="87"/>
      <c r="AH172" s="87"/>
      <c r="AI172" s="87"/>
      <c r="AJ172" s="87"/>
      <c r="AK172" s="87"/>
      <c r="AL172" s="87"/>
      <c r="AM172" s="87"/>
      <c r="AN172" s="90" t="s">
        <v>160</v>
      </c>
      <c r="AO172" s="90" t="s">
        <v>942</v>
      </c>
      <c r="AP172" s="82"/>
      <c r="AQ172" s="87" t="s">
        <v>60</v>
      </c>
      <c r="AR172" s="87" t="s">
        <v>398</v>
      </c>
      <c r="AS172" s="82"/>
      <c r="AT172" s="87">
        <v>14</v>
      </c>
      <c r="AU172" s="87">
        <v>4</v>
      </c>
      <c r="AV172" s="87">
        <f t="shared" si="5"/>
        <v>18</v>
      </c>
      <c r="AW172" s="87" t="str">
        <f t="shared" si="23"/>
        <v>No Aplica</v>
      </c>
      <c r="AX172" s="87" t="s">
        <v>78</v>
      </c>
      <c r="AY172" s="87"/>
      <c r="AZ172" s="87"/>
      <c r="BA172" s="91" t="s">
        <v>943</v>
      </c>
      <c r="BB172" s="84"/>
      <c r="BC172" s="85"/>
      <c r="BD172" s="85"/>
    </row>
    <row r="173" spans="1:56" s="86" customFormat="1" ht="46.5" customHeight="1">
      <c r="A173" s="87">
        <v>168</v>
      </c>
      <c r="B173" s="79" t="s">
        <v>944</v>
      </c>
      <c r="C173" s="88">
        <v>45373</v>
      </c>
      <c r="D173" s="89">
        <v>0.33333333333333331</v>
      </c>
      <c r="E173" s="87" t="s">
        <v>93</v>
      </c>
      <c r="F173" s="87" t="s">
        <v>186</v>
      </c>
      <c r="G173" s="87" t="s">
        <v>95</v>
      </c>
      <c r="H173" s="90" t="s">
        <v>945</v>
      </c>
      <c r="I173" s="90" t="s">
        <v>64</v>
      </c>
      <c r="J173" s="87" t="s">
        <v>70</v>
      </c>
      <c r="K173" s="87" t="s">
        <v>71</v>
      </c>
      <c r="L173" s="90" t="s">
        <v>263</v>
      </c>
      <c r="M173" s="91" t="s">
        <v>264</v>
      </c>
      <c r="N173" s="90" t="s">
        <v>265</v>
      </c>
      <c r="O173" s="90" t="str">
        <f t="shared" si="12"/>
        <v>Distrital</v>
      </c>
      <c r="P173" s="87" t="s">
        <v>73</v>
      </c>
      <c r="Q173" s="87"/>
      <c r="R173" s="87"/>
      <c r="S173" s="87"/>
      <c r="T173" s="87"/>
      <c r="U173" s="87"/>
      <c r="V173" s="90" t="str">
        <f t="shared" si="13"/>
        <v>Distrital</v>
      </c>
      <c r="W173" s="87" t="s">
        <v>73</v>
      </c>
      <c r="X173" s="87"/>
      <c r="Y173" s="87"/>
      <c r="Z173" s="87"/>
      <c r="AA173" s="87"/>
      <c r="AB173" s="87"/>
      <c r="AC173" s="90" t="str">
        <f t="shared" si="14"/>
        <v>Distrital</v>
      </c>
      <c r="AD173" s="87" t="s">
        <v>73</v>
      </c>
      <c r="AE173" s="87"/>
      <c r="AF173" s="87"/>
      <c r="AG173" s="87"/>
      <c r="AH173" s="87"/>
      <c r="AI173" s="87"/>
      <c r="AJ173" s="87"/>
      <c r="AK173" s="87"/>
      <c r="AL173" s="87"/>
      <c r="AM173" s="87"/>
      <c r="AN173" s="90" t="s">
        <v>160</v>
      </c>
      <c r="AO173" s="92" t="s">
        <v>946</v>
      </c>
      <c r="AP173" s="82"/>
      <c r="AQ173" s="87" t="s">
        <v>59</v>
      </c>
      <c r="AR173" s="87" t="s">
        <v>80</v>
      </c>
      <c r="AS173" s="82"/>
      <c r="AT173" s="87">
        <v>26</v>
      </c>
      <c r="AU173" s="87">
        <v>2</v>
      </c>
      <c r="AV173" s="87">
        <f t="shared" si="5"/>
        <v>28</v>
      </c>
      <c r="AW173" s="87" t="str">
        <f t="shared" si="23"/>
        <v>No Aplica</v>
      </c>
      <c r="AX173" s="87" t="s">
        <v>78</v>
      </c>
      <c r="AY173" s="87"/>
      <c r="AZ173" s="87"/>
      <c r="BA173" s="91" t="s">
        <v>947</v>
      </c>
      <c r="BB173" s="84"/>
      <c r="BC173" s="85"/>
      <c r="BD173" s="85"/>
    </row>
    <row r="174" spans="1:56" s="86" customFormat="1" ht="46.5" customHeight="1">
      <c r="A174" s="78">
        <v>169</v>
      </c>
      <c r="B174" s="79" t="s">
        <v>948</v>
      </c>
      <c r="C174" s="88">
        <v>45373</v>
      </c>
      <c r="D174" s="89">
        <v>0.375</v>
      </c>
      <c r="E174" s="87" t="s">
        <v>58</v>
      </c>
      <c r="F174" s="87" t="s">
        <v>61</v>
      </c>
      <c r="G174" s="87" t="s">
        <v>95</v>
      </c>
      <c r="H174" s="90" t="s">
        <v>827</v>
      </c>
      <c r="I174" s="90" t="s">
        <v>172</v>
      </c>
      <c r="J174" s="87" t="s">
        <v>119</v>
      </c>
      <c r="K174" s="87" t="s">
        <v>209</v>
      </c>
      <c r="L174" s="90" t="s">
        <v>794</v>
      </c>
      <c r="M174" s="91">
        <v>3143909467</v>
      </c>
      <c r="N174" s="90" t="s">
        <v>828</v>
      </c>
      <c r="O174" s="90" t="str">
        <f t="shared" si="12"/>
        <v>Distrital</v>
      </c>
      <c r="P174" s="87" t="s">
        <v>73</v>
      </c>
      <c r="Q174" s="87"/>
      <c r="R174" s="87"/>
      <c r="S174" s="87"/>
      <c r="T174" s="87"/>
      <c r="U174" s="87"/>
      <c r="V174" s="90" t="str">
        <f t="shared" si="13"/>
        <v>Distrital</v>
      </c>
      <c r="W174" s="87" t="s">
        <v>73</v>
      </c>
      <c r="X174" s="87"/>
      <c r="Y174" s="87"/>
      <c r="Z174" s="87"/>
      <c r="AA174" s="87"/>
      <c r="AB174" s="87"/>
      <c r="AC174" s="90" t="str">
        <f t="shared" si="14"/>
        <v>Distrital</v>
      </c>
      <c r="AD174" s="87" t="s">
        <v>73</v>
      </c>
      <c r="AE174" s="87"/>
      <c r="AF174" s="87"/>
      <c r="AG174" s="87"/>
      <c r="AH174" s="87"/>
      <c r="AI174" s="87"/>
      <c r="AJ174" s="87"/>
      <c r="AK174" s="87"/>
      <c r="AL174" s="87"/>
      <c r="AM174" s="87"/>
      <c r="AN174" s="90" t="s">
        <v>160</v>
      </c>
      <c r="AO174" s="90" t="s">
        <v>829</v>
      </c>
      <c r="AP174" s="82"/>
      <c r="AQ174" s="87" t="s">
        <v>60</v>
      </c>
      <c r="AR174" s="87" t="s">
        <v>398</v>
      </c>
      <c r="AS174" s="82"/>
      <c r="AT174" s="87">
        <v>14</v>
      </c>
      <c r="AU174" s="87">
        <v>4</v>
      </c>
      <c r="AV174" s="87">
        <f t="shared" si="5"/>
        <v>18</v>
      </c>
      <c r="AW174" s="87" t="str">
        <f t="shared" si="23"/>
        <v>No Aplica</v>
      </c>
      <c r="AX174" s="87" t="s">
        <v>78</v>
      </c>
      <c r="AY174" s="87"/>
      <c r="AZ174" s="87"/>
      <c r="BA174" s="91" t="s">
        <v>949</v>
      </c>
      <c r="BB174" s="84"/>
      <c r="BC174" s="85"/>
      <c r="BD174" s="85"/>
    </row>
    <row r="175" spans="1:56" s="86" customFormat="1" ht="46.5" customHeight="1">
      <c r="A175" s="87">
        <v>170</v>
      </c>
      <c r="B175" s="79" t="s">
        <v>950</v>
      </c>
      <c r="C175" s="88">
        <v>45373</v>
      </c>
      <c r="D175" s="89">
        <v>0.41666666666666669</v>
      </c>
      <c r="E175" s="87" t="s">
        <v>58</v>
      </c>
      <c r="F175" s="87" t="s">
        <v>61</v>
      </c>
      <c r="G175" s="87" t="s">
        <v>62</v>
      </c>
      <c r="H175" s="90" t="s">
        <v>951</v>
      </c>
      <c r="I175" s="90" t="s">
        <v>188</v>
      </c>
      <c r="J175" s="87" t="s">
        <v>119</v>
      </c>
      <c r="K175" s="87" t="s">
        <v>610</v>
      </c>
      <c r="L175" s="90" t="s">
        <v>952</v>
      </c>
      <c r="M175" s="91">
        <v>3002729972</v>
      </c>
      <c r="N175" s="90" t="s">
        <v>953</v>
      </c>
      <c r="O175" s="90" t="str">
        <f t="shared" si="12"/>
        <v>Distrital</v>
      </c>
      <c r="P175" s="87" t="s">
        <v>73</v>
      </c>
      <c r="Q175" s="87"/>
      <c r="R175" s="87"/>
      <c r="S175" s="87"/>
      <c r="T175" s="87"/>
      <c r="U175" s="87"/>
      <c r="V175" s="90" t="str">
        <f t="shared" si="13"/>
        <v>Distrital</v>
      </c>
      <c r="W175" s="87" t="s">
        <v>73</v>
      </c>
      <c r="X175" s="87"/>
      <c r="Y175" s="87"/>
      <c r="Z175" s="87"/>
      <c r="AA175" s="87"/>
      <c r="AB175" s="87"/>
      <c r="AC175" s="90" t="str">
        <f t="shared" si="14"/>
        <v>Distrital</v>
      </c>
      <c r="AD175" s="87" t="s">
        <v>73</v>
      </c>
      <c r="AE175" s="87"/>
      <c r="AF175" s="87"/>
      <c r="AG175" s="87"/>
      <c r="AH175" s="87"/>
      <c r="AI175" s="87"/>
      <c r="AJ175" s="87"/>
      <c r="AK175" s="87"/>
      <c r="AL175" s="87"/>
      <c r="AM175" s="87"/>
      <c r="AN175" s="90" t="s">
        <v>160</v>
      </c>
      <c r="AO175" s="90" t="s">
        <v>954</v>
      </c>
      <c r="AP175" s="82"/>
      <c r="AQ175" s="87" t="s">
        <v>60</v>
      </c>
      <c r="AR175" s="87" t="s">
        <v>77</v>
      </c>
      <c r="AS175" s="82"/>
      <c r="AT175" s="87">
        <v>31</v>
      </c>
      <c r="AU175" s="87">
        <v>2</v>
      </c>
      <c r="AV175" s="87">
        <f t="shared" si="5"/>
        <v>33</v>
      </c>
      <c r="AW175" s="87" t="str">
        <f t="shared" si="23"/>
        <v>No Aplica</v>
      </c>
      <c r="AX175" s="87" t="s">
        <v>78</v>
      </c>
      <c r="AY175" s="87"/>
      <c r="AZ175" s="87"/>
      <c r="BA175" s="91" t="s">
        <v>955</v>
      </c>
      <c r="BB175" s="84"/>
      <c r="BC175" s="85"/>
      <c r="BD175" s="85"/>
    </row>
    <row r="176" spans="1:56" s="86" customFormat="1" ht="46.5" customHeight="1">
      <c r="A176" s="78">
        <v>171</v>
      </c>
      <c r="B176" s="79" t="s">
        <v>956</v>
      </c>
      <c r="C176" s="88">
        <v>45373</v>
      </c>
      <c r="D176" s="89">
        <v>0.45833333333333331</v>
      </c>
      <c r="E176" s="87" t="s">
        <v>58</v>
      </c>
      <c r="F176" s="87" t="s">
        <v>61</v>
      </c>
      <c r="G176" s="87" t="s">
        <v>62</v>
      </c>
      <c r="H176" s="90" t="s">
        <v>392</v>
      </c>
      <c r="I176" s="90" t="s">
        <v>172</v>
      </c>
      <c r="J176" s="87" t="s">
        <v>173</v>
      </c>
      <c r="K176" s="87"/>
      <c r="L176" s="90" t="s">
        <v>72</v>
      </c>
      <c r="M176" s="90" t="s">
        <v>72</v>
      </c>
      <c r="N176" s="90" t="s">
        <v>72</v>
      </c>
      <c r="O176" s="90" t="str">
        <f t="shared" si="12"/>
        <v>Suba</v>
      </c>
      <c r="P176" s="87" t="s">
        <v>394</v>
      </c>
      <c r="Q176" s="87"/>
      <c r="R176" s="87"/>
      <c r="S176" s="87"/>
      <c r="T176" s="87"/>
      <c r="U176" s="87"/>
      <c r="V176" s="90" t="str">
        <f t="shared" si="13"/>
        <v>Noroccidente</v>
      </c>
      <c r="W176" s="87" t="s">
        <v>395</v>
      </c>
      <c r="X176" s="87"/>
      <c r="Y176" s="87"/>
      <c r="Z176" s="87"/>
      <c r="AA176" s="87"/>
      <c r="AB176" s="87"/>
      <c r="AC176" s="90" t="str">
        <f t="shared" si="14"/>
        <v>Tibabuyes</v>
      </c>
      <c r="AD176" s="87" t="s">
        <v>924</v>
      </c>
      <c r="AE176" s="87"/>
      <c r="AF176" s="87"/>
      <c r="AG176" s="87"/>
      <c r="AH176" s="87"/>
      <c r="AI176" s="87"/>
      <c r="AJ176" s="87"/>
      <c r="AK176" s="87"/>
      <c r="AL176" s="87"/>
      <c r="AM176" s="87"/>
      <c r="AN176" s="90" t="s">
        <v>160</v>
      </c>
      <c r="AO176" s="90" t="s">
        <v>957</v>
      </c>
      <c r="AP176" s="82"/>
      <c r="AQ176" s="87" t="s">
        <v>60</v>
      </c>
      <c r="AR176" s="87" t="s">
        <v>398</v>
      </c>
      <c r="AS176" s="82"/>
      <c r="AT176" s="87">
        <v>54</v>
      </c>
      <c r="AU176" s="87">
        <v>14</v>
      </c>
      <c r="AV176" s="87">
        <f t="shared" si="5"/>
        <v>68</v>
      </c>
      <c r="AW176" s="87" t="str">
        <f t="shared" si="23"/>
        <v>Horarios Acordes</v>
      </c>
      <c r="AX176" s="87" t="s">
        <v>213</v>
      </c>
      <c r="AY176" s="87"/>
      <c r="AZ176" s="87"/>
      <c r="BA176" s="91" t="s">
        <v>958</v>
      </c>
      <c r="BB176" s="84"/>
      <c r="BC176" s="85"/>
      <c r="BD176" s="85"/>
    </row>
    <row r="177" spans="1:56" s="86" customFormat="1" ht="46.5" customHeight="1">
      <c r="A177" s="87">
        <v>172</v>
      </c>
      <c r="B177" s="79" t="s">
        <v>959</v>
      </c>
      <c r="C177" s="88">
        <v>45373</v>
      </c>
      <c r="D177" s="89">
        <v>0.54166666666666663</v>
      </c>
      <c r="E177" s="87" t="s">
        <v>58</v>
      </c>
      <c r="F177" s="87" t="s">
        <v>61</v>
      </c>
      <c r="G177" s="87" t="s">
        <v>62</v>
      </c>
      <c r="H177" s="90" t="s">
        <v>960</v>
      </c>
      <c r="I177" s="90" t="s">
        <v>188</v>
      </c>
      <c r="J177" s="87" t="s">
        <v>119</v>
      </c>
      <c r="K177" s="87" t="s">
        <v>610</v>
      </c>
      <c r="L177" s="90" t="s">
        <v>961</v>
      </c>
      <c r="M177" s="90" t="s">
        <v>72</v>
      </c>
      <c r="N177" s="90" t="s">
        <v>72</v>
      </c>
      <c r="O177" s="90" t="str">
        <f t="shared" si="12"/>
        <v>Distrital</v>
      </c>
      <c r="P177" s="87" t="s">
        <v>73</v>
      </c>
      <c r="Q177" s="87"/>
      <c r="R177" s="87"/>
      <c r="S177" s="87"/>
      <c r="T177" s="87"/>
      <c r="U177" s="87"/>
      <c r="V177" s="90" t="str">
        <f t="shared" si="13"/>
        <v>Distrital</v>
      </c>
      <c r="W177" s="87" t="s">
        <v>73</v>
      </c>
      <c r="X177" s="87"/>
      <c r="Y177" s="87"/>
      <c r="Z177" s="87"/>
      <c r="AA177" s="87"/>
      <c r="AB177" s="87"/>
      <c r="AC177" s="90" t="str">
        <f t="shared" si="14"/>
        <v/>
      </c>
      <c r="AD177" s="87"/>
      <c r="AE177" s="87"/>
      <c r="AF177" s="87"/>
      <c r="AG177" s="87"/>
      <c r="AH177" s="87"/>
      <c r="AI177" s="87"/>
      <c r="AJ177" s="87"/>
      <c r="AK177" s="87"/>
      <c r="AL177" s="87"/>
      <c r="AM177" s="87"/>
      <c r="AN177" s="90" t="s">
        <v>160</v>
      </c>
      <c r="AO177" s="90" t="s">
        <v>962</v>
      </c>
      <c r="AP177" s="82"/>
      <c r="AQ177" s="87" t="s">
        <v>60</v>
      </c>
      <c r="AR177" s="87" t="s">
        <v>77</v>
      </c>
      <c r="AS177" s="82"/>
      <c r="AT177" s="87">
        <v>12</v>
      </c>
      <c r="AU177" s="87">
        <v>3</v>
      </c>
      <c r="AV177" s="87">
        <f t="shared" si="5"/>
        <v>15</v>
      </c>
      <c r="AW177" s="87" t="str">
        <f t="shared" si="23"/>
        <v>No Aplica</v>
      </c>
      <c r="AX177" s="87" t="s">
        <v>78</v>
      </c>
      <c r="AY177" s="87"/>
      <c r="AZ177" s="87"/>
      <c r="BA177" s="91" t="s">
        <v>726</v>
      </c>
      <c r="BB177" s="84"/>
      <c r="BC177" s="85"/>
      <c r="BD177" s="85"/>
    </row>
    <row r="178" spans="1:56" s="86" customFormat="1" ht="46.5" customHeight="1">
      <c r="A178" s="78">
        <v>173</v>
      </c>
      <c r="B178" s="79" t="s">
        <v>879</v>
      </c>
      <c r="C178" s="88">
        <v>45373</v>
      </c>
      <c r="D178" s="89">
        <v>0.58333333333333337</v>
      </c>
      <c r="E178" s="87" t="s">
        <v>93</v>
      </c>
      <c r="F178" s="87" t="s">
        <v>102</v>
      </c>
      <c r="G178" s="87" t="s">
        <v>95</v>
      </c>
      <c r="H178" s="90" t="s">
        <v>963</v>
      </c>
      <c r="I178" s="90" t="s">
        <v>118</v>
      </c>
      <c r="J178" s="87" t="s">
        <v>119</v>
      </c>
      <c r="K178" s="87" t="s">
        <v>129</v>
      </c>
      <c r="L178" s="90" t="s">
        <v>881</v>
      </c>
      <c r="M178" s="90" t="s">
        <v>882</v>
      </c>
      <c r="N178" s="90" t="s">
        <v>883</v>
      </c>
      <c r="O178" s="90" t="str">
        <f t="shared" si="12"/>
        <v>Distrital</v>
      </c>
      <c r="P178" s="87" t="s">
        <v>73</v>
      </c>
      <c r="Q178" s="87"/>
      <c r="R178" s="87"/>
      <c r="S178" s="87"/>
      <c r="T178" s="87"/>
      <c r="U178" s="87"/>
      <c r="V178" s="90" t="str">
        <f t="shared" si="13"/>
        <v>Distrital</v>
      </c>
      <c r="W178" s="87" t="s">
        <v>73</v>
      </c>
      <c r="X178" s="87"/>
      <c r="Y178" s="87"/>
      <c r="Z178" s="87"/>
      <c r="AA178" s="87"/>
      <c r="AB178" s="87"/>
      <c r="AC178" s="90" t="str">
        <f t="shared" si="14"/>
        <v>Distrital</v>
      </c>
      <c r="AD178" s="87" t="s">
        <v>73</v>
      </c>
      <c r="AE178" s="87"/>
      <c r="AF178" s="87"/>
      <c r="AG178" s="87"/>
      <c r="AH178" s="87"/>
      <c r="AI178" s="87"/>
      <c r="AJ178" s="87"/>
      <c r="AK178" s="87"/>
      <c r="AL178" s="87"/>
      <c r="AM178" s="87"/>
      <c r="AN178" s="90" t="s">
        <v>160</v>
      </c>
      <c r="AO178" s="92" t="s">
        <v>964</v>
      </c>
      <c r="AP178" s="82"/>
      <c r="AQ178" s="87" t="s">
        <v>59</v>
      </c>
      <c r="AR178" s="87" t="s">
        <v>80</v>
      </c>
      <c r="AS178" s="82"/>
      <c r="AT178" s="87">
        <v>9</v>
      </c>
      <c r="AU178" s="87">
        <v>1</v>
      </c>
      <c r="AV178" s="87">
        <f t="shared" si="5"/>
        <v>10</v>
      </c>
      <c r="AW178" s="87" t="str">
        <f t="shared" si="23"/>
        <v>No Aplica</v>
      </c>
      <c r="AX178" s="87" t="s">
        <v>78</v>
      </c>
      <c r="AY178" s="87"/>
      <c r="AZ178" s="87"/>
      <c r="BA178" s="91" t="s">
        <v>965</v>
      </c>
      <c r="BB178" s="84"/>
      <c r="BC178" s="85"/>
      <c r="BD178" s="85"/>
    </row>
    <row r="179" spans="1:56" s="86" customFormat="1" ht="46.5" customHeight="1">
      <c r="A179" s="87">
        <v>174</v>
      </c>
      <c r="B179" s="79" t="s">
        <v>966</v>
      </c>
      <c r="C179" s="88">
        <v>45373</v>
      </c>
      <c r="D179" s="89">
        <v>0.625</v>
      </c>
      <c r="E179" s="87" t="s">
        <v>58</v>
      </c>
      <c r="F179" s="87" t="s">
        <v>61</v>
      </c>
      <c r="G179" s="87" t="s">
        <v>62</v>
      </c>
      <c r="H179" s="90" t="s">
        <v>392</v>
      </c>
      <c r="I179" s="90" t="s">
        <v>172</v>
      </c>
      <c r="J179" s="87" t="s">
        <v>173</v>
      </c>
      <c r="K179" s="87"/>
      <c r="L179" s="90" t="s">
        <v>72</v>
      </c>
      <c r="M179" s="90" t="s">
        <v>72</v>
      </c>
      <c r="N179" s="90" t="s">
        <v>72</v>
      </c>
      <c r="O179" s="90" t="str">
        <f t="shared" si="12"/>
        <v>Usaquén</v>
      </c>
      <c r="P179" s="87" t="s">
        <v>428</v>
      </c>
      <c r="Q179" s="87"/>
      <c r="R179" s="87"/>
      <c r="S179" s="87"/>
      <c r="T179" s="87"/>
      <c r="U179" s="87"/>
      <c r="V179" s="90" t="str">
        <f t="shared" si="13"/>
        <v>Norte</v>
      </c>
      <c r="W179" s="87" t="s">
        <v>429</v>
      </c>
      <c r="X179" s="87"/>
      <c r="Y179" s="87"/>
      <c r="Z179" s="87"/>
      <c r="AA179" s="87"/>
      <c r="AB179" s="87"/>
      <c r="AC179" s="90" t="str">
        <f t="shared" si="14"/>
        <v>Toberín</v>
      </c>
      <c r="AD179" s="87" t="s">
        <v>527</v>
      </c>
      <c r="AE179" s="87"/>
      <c r="AF179" s="87"/>
      <c r="AG179" s="87"/>
      <c r="AH179" s="87"/>
      <c r="AI179" s="87"/>
      <c r="AJ179" s="87"/>
      <c r="AK179" s="87"/>
      <c r="AL179" s="87"/>
      <c r="AM179" s="87"/>
      <c r="AN179" s="90" t="s">
        <v>160</v>
      </c>
      <c r="AO179" s="90" t="s">
        <v>968</v>
      </c>
      <c r="AP179" s="82"/>
      <c r="AQ179" s="87" t="s">
        <v>60</v>
      </c>
      <c r="AR179" s="87" t="s">
        <v>398</v>
      </c>
      <c r="AS179" s="82"/>
      <c r="AT179" s="87">
        <v>54</v>
      </c>
      <c r="AU179" s="87">
        <v>14</v>
      </c>
      <c r="AV179" s="87">
        <f t="shared" si="5"/>
        <v>68</v>
      </c>
      <c r="AW179" s="87" t="str">
        <f t="shared" si="23"/>
        <v>Horarios Acordes</v>
      </c>
      <c r="AX179" s="87" t="s">
        <v>213</v>
      </c>
      <c r="AY179" s="87"/>
      <c r="AZ179" s="87"/>
      <c r="BA179" s="91" t="s">
        <v>392</v>
      </c>
      <c r="BB179" s="84"/>
      <c r="BC179" s="85"/>
      <c r="BD179" s="85"/>
    </row>
    <row r="180" spans="1:56" s="86" customFormat="1" ht="46.5" customHeight="1">
      <c r="A180" s="78">
        <v>175</v>
      </c>
      <c r="B180" s="79" t="s">
        <v>969</v>
      </c>
      <c r="C180" s="88">
        <v>45373</v>
      </c>
      <c r="D180" s="89">
        <v>0.625</v>
      </c>
      <c r="E180" s="87" t="s">
        <v>58</v>
      </c>
      <c r="F180" s="87" t="s">
        <v>61</v>
      </c>
      <c r="G180" s="87" t="s">
        <v>62</v>
      </c>
      <c r="H180" s="90" t="s">
        <v>970</v>
      </c>
      <c r="I180" s="90" t="s">
        <v>64</v>
      </c>
      <c r="J180" s="87" t="s">
        <v>119</v>
      </c>
      <c r="K180" s="87" t="s">
        <v>209</v>
      </c>
      <c r="L180" s="90" t="s">
        <v>971</v>
      </c>
      <c r="M180" s="90">
        <v>3193692444</v>
      </c>
      <c r="N180" s="90" t="s">
        <v>972</v>
      </c>
      <c r="O180" s="90" t="str">
        <f t="shared" si="12"/>
        <v>Distrital</v>
      </c>
      <c r="P180" s="87" t="s">
        <v>73</v>
      </c>
      <c r="Q180" s="87"/>
      <c r="R180" s="87"/>
      <c r="S180" s="87"/>
      <c r="T180" s="87"/>
      <c r="U180" s="87"/>
      <c r="V180" s="90" t="str">
        <f t="shared" si="13"/>
        <v>Distrital</v>
      </c>
      <c r="W180" s="87" t="s">
        <v>73</v>
      </c>
      <c r="X180" s="87"/>
      <c r="Y180" s="87"/>
      <c r="Z180" s="87"/>
      <c r="AA180" s="87"/>
      <c r="AB180" s="87"/>
      <c r="AC180" s="90" t="str">
        <f t="shared" si="14"/>
        <v>Distrital</v>
      </c>
      <c r="AD180" s="87" t="s">
        <v>73</v>
      </c>
      <c r="AE180" s="87"/>
      <c r="AF180" s="87"/>
      <c r="AG180" s="87"/>
      <c r="AH180" s="87"/>
      <c r="AI180" s="87"/>
      <c r="AJ180" s="87"/>
      <c r="AK180" s="87"/>
      <c r="AL180" s="87"/>
      <c r="AM180" s="87"/>
      <c r="AN180" s="90" t="s">
        <v>160</v>
      </c>
      <c r="AO180" s="90" t="s">
        <v>973</v>
      </c>
      <c r="AP180" s="82"/>
      <c r="AQ180" s="87" t="s">
        <v>60</v>
      </c>
      <c r="AR180" s="87" t="s">
        <v>77</v>
      </c>
      <c r="AS180" s="82"/>
      <c r="AT180" s="87">
        <v>2</v>
      </c>
      <c r="AU180" s="87">
        <v>2</v>
      </c>
      <c r="AV180" s="87">
        <f t="shared" si="5"/>
        <v>4</v>
      </c>
      <c r="AW180" s="87" t="str">
        <f t="shared" si="23"/>
        <v>No Aplica</v>
      </c>
      <c r="AX180" s="87" t="s">
        <v>78</v>
      </c>
      <c r="AY180" s="87"/>
      <c r="AZ180" s="87"/>
      <c r="BA180" s="91" t="s">
        <v>974</v>
      </c>
      <c r="BB180" s="84"/>
      <c r="BC180" s="85"/>
      <c r="BD180" s="85"/>
    </row>
    <row r="181" spans="1:56" s="86" customFormat="1" ht="46.5" customHeight="1">
      <c r="A181" s="87">
        <v>176</v>
      </c>
      <c r="B181" s="79" t="s">
        <v>975</v>
      </c>
      <c r="C181" s="88">
        <v>45373</v>
      </c>
      <c r="D181" s="89">
        <v>0.72916666666666663</v>
      </c>
      <c r="E181" s="87" t="s">
        <v>58</v>
      </c>
      <c r="F181" s="87" t="s">
        <v>61</v>
      </c>
      <c r="G181" s="87" t="s">
        <v>62</v>
      </c>
      <c r="H181" s="90" t="s">
        <v>392</v>
      </c>
      <c r="I181" s="90" t="s">
        <v>172</v>
      </c>
      <c r="J181" s="87" t="s">
        <v>173</v>
      </c>
      <c r="K181" s="87"/>
      <c r="L181" s="90" t="s">
        <v>72</v>
      </c>
      <c r="M181" s="90" t="s">
        <v>72</v>
      </c>
      <c r="N181" s="90" t="s">
        <v>72</v>
      </c>
      <c r="O181" s="90" t="str">
        <f t="shared" si="12"/>
        <v>Bosa, Kennedy</v>
      </c>
      <c r="P181" s="87" t="s">
        <v>472</v>
      </c>
      <c r="Q181" s="87" t="s">
        <v>473</v>
      </c>
      <c r="R181" s="87"/>
      <c r="S181" s="87"/>
      <c r="T181" s="87"/>
      <c r="U181" s="87"/>
      <c r="V181" s="90" t="str">
        <f t="shared" si="13"/>
        <v>Suroccidente</v>
      </c>
      <c r="W181" s="87" t="s">
        <v>474</v>
      </c>
      <c r="X181" s="87"/>
      <c r="Y181" s="87"/>
      <c r="Z181" s="87"/>
      <c r="AA181" s="87"/>
      <c r="AB181" s="87"/>
      <c r="AC181" s="90" t="str">
        <f t="shared" si="14"/>
        <v>Porvenir</v>
      </c>
      <c r="AD181" s="87" t="s">
        <v>705</v>
      </c>
      <c r="AE181" s="87"/>
      <c r="AF181" s="87"/>
      <c r="AG181" s="87"/>
      <c r="AH181" s="87"/>
      <c r="AI181" s="87"/>
      <c r="AJ181" s="87"/>
      <c r="AK181" s="87"/>
      <c r="AL181" s="87"/>
      <c r="AM181" s="87"/>
      <c r="AN181" s="90" t="s">
        <v>160</v>
      </c>
      <c r="AO181" s="90" t="s">
        <v>976</v>
      </c>
      <c r="AP181" s="82"/>
      <c r="AQ181" s="87" t="s">
        <v>60</v>
      </c>
      <c r="AR181" s="87" t="s">
        <v>398</v>
      </c>
      <c r="AS181" s="82"/>
      <c r="AT181" s="87">
        <v>54</v>
      </c>
      <c r="AU181" s="87">
        <v>15</v>
      </c>
      <c r="AV181" s="87">
        <f t="shared" si="5"/>
        <v>69</v>
      </c>
      <c r="AW181" s="87" t="str">
        <f t="shared" si="23"/>
        <v>Horarios Acordes</v>
      </c>
      <c r="AX181" s="87" t="s">
        <v>213</v>
      </c>
      <c r="AY181" s="87"/>
      <c r="AZ181" s="87"/>
      <c r="BA181" s="91" t="s">
        <v>977</v>
      </c>
      <c r="BB181" s="84"/>
      <c r="BC181" s="85"/>
      <c r="BD181" s="85"/>
    </row>
    <row r="182" spans="1:56" s="86" customFormat="1" ht="46.5" customHeight="1">
      <c r="A182" s="78">
        <v>177</v>
      </c>
      <c r="B182" s="79" t="s">
        <v>978</v>
      </c>
      <c r="C182" s="88">
        <v>45373</v>
      </c>
      <c r="D182" s="89">
        <v>0.75</v>
      </c>
      <c r="E182" s="87" t="s">
        <v>93</v>
      </c>
      <c r="F182" s="87" t="s">
        <v>102</v>
      </c>
      <c r="G182" s="87" t="s">
        <v>95</v>
      </c>
      <c r="H182" s="90" t="s">
        <v>979</v>
      </c>
      <c r="I182" s="90" t="s">
        <v>118</v>
      </c>
      <c r="J182" s="87" t="s">
        <v>119</v>
      </c>
      <c r="K182" s="87" t="s">
        <v>129</v>
      </c>
      <c r="L182" s="90" t="s">
        <v>891</v>
      </c>
      <c r="M182" s="90">
        <v>3244150125</v>
      </c>
      <c r="N182" s="90" t="s">
        <v>980</v>
      </c>
      <c r="O182" s="90" t="str">
        <f t="shared" si="12"/>
        <v>Distrital</v>
      </c>
      <c r="P182" s="87" t="s">
        <v>73</v>
      </c>
      <c r="Q182" s="87"/>
      <c r="R182" s="87"/>
      <c r="S182" s="87"/>
      <c r="T182" s="87"/>
      <c r="U182" s="87"/>
      <c r="V182" s="90" t="str">
        <f t="shared" si="13"/>
        <v>Distrital</v>
      </c>
      <c r="W182" s="87" t="s">
        <v>73</v>
      </c>
      <c r="X182" s="87"/>
      <c r="Y182" s="87"/>
      <c r="Z182" s="87"/>
      <c r="AA182" s="87"/>
      <c r="AB182" s="87"/>
      <c r="AC182" s="90" t="str">
        <f t="shared" si="14"/>
        <v>Distrital</v>
      </c>
      <c r="AD182" s="87" t="s">
        <v>73</v>
      </c>
      <c r="AE182" s="87"/>
      <c r="AF182" s="87"/>
      <c r="AG182" s="87"/>
      <c r="AH182" s="87"/>
      <c r="AI182" s="87"/>
      <c r="AJ182" s="87"/>
      <c r="AK182" s="87"/>
      <c r="AL182" s="87"/>
      <c r="AM182" s="87"/>
      <c r="AN182" s="90" t="s">
        <v>160</v>
      </c>
      <c r="AO182" s="92" t="s">
        <v>981</v>
      </c>
      <c r="AP182" s="82"/>
      <c r="AQ182" s="87" t="s">
        <v>59</v>
      </c>
      <c r="AR182" s="87" t="s">
        <v>80</v>
      </c>
      <c r="AS182" s="82"/>
      <c r="AT182" s="87">
        <v>14</v>
      </c>
      <c r="AU182" s="87">
        <v>1</v>
      </c>
      <c r="AV182" s="87">
        <f t="shared" si="5"/>
        <v>15</v>
      </c>
      <c r="AW182" s="87" t="str">
        <f t="shared" si="23"/>
        <v>Accesibilidad Universal, Lenguaje de señas</v>
      </c>
      <c r="AX182" s="87" t="s">
        <v>246</v>
      </c>
      <c r="AY182" s="87" t="s">
        <v>211</v>
      </c>
      <c r="AZ182" s="87"/>
      <c r="BA182" s="91" t="s">
        <v>982</v>
      </c>
      <c r="BB182" s="84"/>
      <c r="BC182" s="85"/>
      <c r="BD182" s="85"/>
    </row>
    <row r="183" spans="1:56" s="86" customFormat="1" ht="46.5" customHeight="1">
      <c r="A183" s="87">
        <v>178</v>
      </c>
      <c r="B183" s="79" t="s">
        <v>983</v>
      </c>
      <c r="C183" s="88">
        <v>45374</v>
      </c>
      <c r="D183" s="89">
        <v>0.375</v>
      </c>
      <c r="E183" s="87" t="s">
        <v>58</v>
      </c>
      <c r="F183" s="87" t="s">
        <v>61</v>
      </c>
      <c r="G183" s="87" t="s">
        <v>62</v>
      </c>
      <c r="H183" s="90" t="s">
        <v>392</v>
      </c>
      <c r="I183" s="90" t="s">
        <v>172</v>
      </c>
      <c r="J183" s="87" t="s">
        <v>173</v>
      </c>
      <c r="K183" s="87"/>
      <c r="L183" s="90" t="s">
        <v>984</v>
      </c>
      <c r="M183" s="90" t="s">
        <v>985</v>
      </c>
      <c r="N183" s="90" t="s">
        <v>72</v>
      </c>
      <c r="O183" s="90" t="str">
        <f t="shared" si="12"/>
        <v>Sumapaz</v>
      </c>
      <c r="P183" s="87" t="s">
        <v>327</v>
      </c>
      <c r="Q183" s="87"/>
      <c r="R183" s="87"/>
      <c r="S183" s="87"/>
      <c r="T183" s="87"/>
      <c r="U183" s="87"/>
      <c r="V183" s="90" t="str">
        <f t="shared" si="13"/>
        <v>Ruralidad</v>
      </c>
      <c r="W183" s="87" t="s">
        <v>109</v>
      </c>
      <c r="X183" s="87"/>
      <c r="Y183" s="87"/>
      <c r="Z183" s="87"/>
      <c r="AA183" s="87"/>
      <c r="AB183" s="87"/>
      <c r="AC183" s="90" t="str">
        <f t="shared" si="14"/>
        <v>Sumapaz</v>
      </c>
      <c r="AD183" s="87" t="s">
        <v>327</v>
      </c>
      <c r="AE183" s="87"/>
      <c r="AF183" s="87"/>
      <c r="AG183" s="87"/>
      <c r="AH183" s="87"/>
      <c r="AI183" s="87"/>
      <c r="AJ183" s="87"/>
      <c r="AK183" s="87"/>
      <c r="AL183" s="87"/>
      <c r="AM183" s="87"/>
      <c r="AN183" s="90" t="s">
        <v>160</v>
      </c>
      <c r="AO183" s="90" t="s">
        <v>986</v>
      </c>
      <c r="AP183" s="82"/>
      <c r="AQ183" s="87" t="s">
        <v>60</v>
      </c>
      <c r="AR183" s="87" t="s">
        <v>398</v>
      </c>
      <c r="AS183" s="82"/>
      <c r="AT183" s="87">
        <v>27</v>
      </c>
      <c r="AU183" s="87">
        <v>7</v>
      </c>
      <c r="AV183" s="87">
        <f t="shared" si="5"/>
        <v>34</v>
      </c>
      <c r="AW183" s="87" t="str">
        <f t="shared" si="23"/>
        <v>Horarios Acordes, Contenidos adaptados</v>
      </c>
      <c r="AX183" s="87" t="s">
        <v>213</v>
      </c>
      <c r="AY183" s="87" t="s">
        <v>212</v>
      </c>
      <c r="AZ183" s="87"/>
      <c r="BA183" s="91" t="s">
        <v>987</v>
      </c>
      <c r="BB183" s="84"/>
      <c r="BC183" s="85"/>
      <c r="BD183" s="85"/>
    </row>
    <row r="184" spans="1:56" s="86" customFormat="1" ht="46.5" customHeight="1">
      <c r="A184" s="78">
        <v>179</v>
      </c>
      <c r="B184" s="79" t="s">
        <v>988</v>
      </c>
      <c r="C184" s="88">
        <v>45374</v>
      </c>
      <c r="D184" s="89">
        <v>0.33333333333333331</v>
      </c>
      <c r="E184" s="87" t="s">
        <v>93</v>
      </c>
      <c r="F184" s="87" t="s">
        <v>102</v>
      </c>
      <c r="G184" s="87" t="s">
        <v>62</v>
      </c>
      <c r="H184" s="90" t="s">
        <v>989</v>
      </c>
      <c r="I184" s="90" t="s">
        <v>188</v>
      </c>
      <c r="J184" s="87" t="s">
        <v>173</v>
      </c>
      <c r="K184" s="87"/>
      <c r="L184" s="90" t="s">
        <v>990</v>
      </c>
      <c r="M184" s="90">
        <v>3188799900</v>
      </c>
      <c r="N184" s="90" t="s">
        <v>439</v>
      </c>
      <c r="O184" s="90" t="str">
        <f t="shared" si="12"/>
        <v>Distrital</v>
      </c>
      <c r="P184" s="87" t="s">
        <v>73</v>
      </c>
      <c r="Q184" s="87"/>
      <c r="R184" s="87"/>
      <c r="S184" s="87"/>
      <c r="T184" s="87"/>
      <c r="U184" s="87"/>
      <c r="V184" s="90" t="str">
        <f t="shared" si="13"/>
        <v>Distrital</v>
      </c>
      <c r="W184" s="87" t="s">
        <v>73</v>
      </c>
      <c r="X184" s="87"/>
      <c r="Y184" s="87"/>
      <c r="Z184" s="87"/>
      <c r="AA184" s="87"/>
      <c r="AB184" s="87"/>
      <c r="AC184" s="90" t="str">
        <f t="shared" si="14"/>
        <v/>
      </c>
      <c r="AD184" s="87"/>
      <c r="AE184" s="87"/>
      <c r="AF184" s="87"/>
      <c r="AG184" s="87"/>
      <c r="AH184" s="87"/>
      <c r="AI184" s="87"/>
      <c r="AJ184" s="87"/>
      <c r="AK184" s="87"/>
      <c r="AL184" s="87"/>
      <c r="AM184" s="87"/>
      <c r="AN184" s="90" t="s">
        <v>160</v>
      </c>
      <c r="AO184" s="90" t="s">
        <v>991</v>
      </c>
      <c r="AP184" s="82"/>
      <c r="AQ184" s="87" t="s">
        <v>59</v>
      </c>
      <c r="AR184" s="87" t="s">
        <v>80</v>
      </c>
      <c r="AS184" s="82"/>
      <c r="AT184" s="87">
        <v>124</v>
      </c>
      <c r="AU184" s="87">
        <v>18</v>
      </c>
      <c r="AV184" s="87">
        <f t="shared" si="5"/>
        <v>142</v>
      </c>
      <c r="AW184" s="87" t="str">
        <f t="shared" si="23"/>
        <v>No Aplica</v>
      </c>
      <c r="AX184" s="87" t="s">
        <v>78</v>
      </c>
      <c r="AY184" s="87"/>
      <c r="AZ184" s="87"/>
      <c r="BA184" s="91" t="s">
        <v>992</v>
      </c>
      <c r="BB184" s="84"/>
      <c r="BC184" s="85"/>
      <c r="BD184" s="85"/>
    </row>
    <row r="185" spans="1:56" s="86" customFormat="1" ht="46.5" customHeight="1">
      <c r="A185" s="87">
        <v>180</v>
      </c>
      <c r="B185" s="79" t="s">
        <v>993</v>
      </c>
      <c r="C185" s="88">
        <v>45374</v>
      </c>
      <c r="D185" s="89">
        <v>0.70833333333333337</v>
      </c>
      <c r="E185" s="87" t="s">
        <v>93</v>
      </c>
      <c r="F185" s="87" t="s">
        <v>102</v>
      </c>
      <c r="G185" s="87" t="s">
        <v>95</v>
      </c>
      <c r="H185" s="90" t="s">
        <v>994</v>
      </c>
      <c r="I185" s="90" t="s">
        <v>118</v>
      </c>
      <c r="J185" s="87" t="s">
        <v>119</v>
      </c>
      <c r="K185" s="87" t="s">
        <v>129</v>
      </c>
      <c r="L185" s="90" t="s">
        <v>995</v>
      </c>
      <c r="M185" s="90">
        <v>3188799909</v>
      </c>
      <c r="N185" s="90" t="s">
        <v>996</v>
      </c>
      <c r="O185" s="90" t="str">
        <f t="shared" si="12"/>
        <v>Distrital</v>
      </c>
      <c r="P185" s="87" t="s">
        <v>73</v>
      </c>
      <c r="Q185" s="87"/>
      <c r="R185" s="87"/>
      <c r="S185" s="87"/>
      <c r="T185" s="87"/>
      <c r="U185" s="87"/>
      <c r="V185" s="90" t="str">
        <f t="shared" si="13"/>
        <v>Distrital</v>
      </c>
      <c r="W185" s="87" t="s">
        <v>73</v>
      </c>
      <c r="X185" s="87"/>
      <c r="Y185" s="87"/>
      <c r="Z185" s="87"/>
      <c r="AA185" s="87"/>
      <c r="AB185" s="87"/>
      <c r="AC185" s="90" t="str">
        <f t="shared" si="14"/>
        <v>Distrital</v>
      </c>
      <c r="AD185" s="87" t="s">
        <v>73</v>
      </c>
      <c r="AE185" s="87"/>
      <c r="AF185" s="87"/>
      <c r="AG185" s="87"/>
      <c r="AH185" s="87"/>
      <c r="AI185" s="87"/>
      <c r="AJ185" s="87"/>
      <c r="AK185" s="87"/>
      <c r="AL185" s="87"/>
      <c r="AM185" s="87"/>
      <c r="AN185" s="90" t="s">
        <v>160</v>
      </c>
      <c r="AO185" s="92" t="s">
        <v>997</v>
      </c>
      <c r="AP185" s="82"/>
      <c r="AQ185" s="87" t="s">
        <v>59</v>
      </c>
      <c r="AR185" s="87" t="s">
        <v>80</v>
      </c>
      <c r="AS185" s="82"/>
      <c r="AT185" s="87">
        <v>7</v>
      </c>
      <c r="AU185" s="87">
        <v>1</v>
      </c>
      <c r="AV185" s="87">
        <f t="shared" si="5"/>
        <v>8</v>
      </c>
      <c r="AW185" s="87" t="str">
        <f t="shared" si="23"/>
        <v>No Aplica</v>
      </c>
      <c r="AX185" s="87" t="s">
        <v>78</v>
      </c>
      <c r="AY185" s="87"/>
      <c r="AZ185" s="87"/>
      <c r="BA185" s="91" t="s">
        <v>998</v>
      </c>
      <c r="BB185" s="84"/>
      <c r="BC185" s="85"/>
      <c r="BD185" s="85"/>
    </row>
    <row r="186" spans="1:56" s="86" customFormat="1" ht="46.5" customHeight="1">
      <c r="A186" s="78">
        <v>181</v>
      </c>
      <c r="B186" s="79" t="s">
        <v>999</v>
      </c>
      <c r="C186" s="88">
        <v>45375</v>
      </c>
      <c r="D186" s="89">
        <v>0.375</v>
      </c>
      <c r="E186" s="87" t="s">
        <v>93</v>
      </c>
      <c r="F186" s="87" t="s">
        <v>102</v>
      </c>
      <c r="G186" s="87" t="s">
        <v>62</v>
      </c>
      <c r="H186" s="90" t="s">
        <v>1000</v>
      </c>
      <c r="I186" s="90" t="s">
        <v>118</v>
      </c>
      <c r="J186" s="87" t="s">
        <v>119</v>
      </c>
      <c r="K186" s="87" t="s">
        <v>129</v>
      </c>
      <c r="L186" s="90" t="s">
        <v>1001</v>
      </c>
      <c r="M186" s="90">
        <v>3108148740</v>
      </c>
      <c r="N186" s="90" t="s">
        <v>439</v>
      </c>
      <c r="O186" s="90" t="str">
        <f t="shared" si="12"/>
        <v>Distrital</v>
      </c>
      <c r="P186" s="87" t="s">
        <v>73</v>
      </c>
      <c r="Q186" s="87"/>
      <c r="R186" s="87"/>
      <c r="S186" s="87"/>
      <c r="T186" s="87"/>
      <c r="U186" s="87"/>
      <c r="V186" s="90" t="str">
        <f t="shared" si="13"/>
        <v>Distrital</v>
      </c>
      <c r="W186" s="87" t="s">
        <v>73</v>
      </c>
      <c r="X186" s="87"/>
      <c r="Y186" s="87"/>
      <c r="Z186" s="87"/>
      <c r="AA186" s="87"/>
      <c r="AB186" s="87"/>
      <c r="AC186" s="90" t="str">
        <f t="shared" si="14"/>
        <v>Distrital</v>
      </c>
      <c r="AD186" s="87" t="s">
        <v>73</v>
      </c>
      <c r="AE186" s="87"/>
      <c r="AF186" s="87"/>
      <c r="AG186" s="87"/>
      <c r="AH186" s="87"/>
      <c r="AI186" s="87"/>
      <c r="AJ186" s="87"/>
      <c r="AK186" s="87"/>
      <c r="AL186" s="87"/>
      <c r="AM186" s="87"/>
      <c r="AN186" s="90" t="s">
        <v>160</v>
      </c>
      <c r="AO186" s="90" t="s">
        <v>1002</v>
      </c>
      <c r="AP186" s="82"/>
      <c r="AQ186" s="87" t="s">
        <v>60</v>
      </c>
      <c r="AR186" s="87" t="s">
        <v>77</v>
      </c>
      <c r="AS186" s="82"/>
      <c r="AT186" s="87">
        <v>14</v>
      </c>
      <c r="AU186" s="87">
        <v>2</v>
      </c>
      <c r="AV186" s="87">
        <f t="shared" si="5"/>
        <v>16</v>
      </c>
      <c r="AW186" s="87" t="str">
        <f t="shared" si="23"/>
        <v>Lenguaje de señas, Accesibilidad Universal, Horarios Acordes</v>
      </c>
      <c r="AX186" s="87" t="s">
        <v>211</v>
      </c>
      <c r="AY186" s="87" t="s">
        <v>246</v>
      </c>
      <c r="AZ186" s="87" t="s">
        <v>213</v>
      </c>
      <c r="BA186" s="91" t="s">
        <v>1003</v>
      </c>
      <c r="BB186" s="84"/>
      <c r="BC186" s="85"/>
      <c r="BD186" s="85"/>
    </row>
    <row r="187" spans="1:56" s="86" customFormat="1" ht="46.5" customHeight="1">
      <c r="A187" s="87">
        <v>182</v>
      </c>
      <c r="B187" s="79" t="s">
        <v>1004</v>
      </c>
      <c r="C187" s="88">
        <v>45375</v>
      </c>
      <c r="D187" s="89">
        <v>0.39583333333333331</v>
      </c>
      <c r="E187" s="87" t="s">
        <v>58</v>
      </c>
      <c r="F187" s="87" t="s">
        <v>61</v>
      </c>
      <c r="G187" s="87" t="s">
        <v>62</v>
      </c>
      <c r="H187" s="90" t="s">
        <v>392</v>
      </c>
      <c r="I187" s="90" t="s">
        <v>193</v>
      </c>
      <c r="J187" s="87" t="s">
        <v>173</v>
      </c>
      <c r="K187" s="87"/>
      <c r="L187" s="90" t="s">
        <v>72</v>
      </c>
      <c r="M187" s="90" t="s">
        <v>72</v>
      </c>
      <c r="N187" s="90" t="s">
        <v>72</v>
      </c>
      <c r="O187" s="90" t="str">
        <f t="shared" si="12"/>
        <v>Teusaquillo</v>
      </c>
      <c r="P187" s="87" t="s">
        <v>665</v>
      </c>
      <c r="Q187" s="87"/>
      <c r="R187" s="87"/>
      <c r="S187" s="87"/>
      <c r="T187" s="87"/>
      <c r="U187" s="87"/>
      <c r="V187" s="90" t="str">
        <f t="shared" si="13"/>
        <v>Distrital</v>
      </c>
      <c r="W187" s="87" t="s">
        <v>73</v>
      </c>
      <c r="X187" s="87"/>
      <c r="Y187" s="87"/>
      <c r="Z187" s="87"/>
      <c r="AA187" s="87"/>
      <c r="AB187" s="87"/>
      <c r="AC187" s="90" t="str">
        <f t="shared" si="14"/>
        <v>Distrital</v>
      </c>
      <c r="AD187" s="87" t="s">
        <v>73</v>
      </c>
      <c r="AE187" s="87"/>
      <c r="AF187" s="87"/>
      <c r="AG187" s="87"/>
      <c r="AH187" s="87"/>
      <c r="AI187" s="87"/>
      <c r="AJ187" s="87"/>
      <c r="AK187" s="87"/>
      <c r="AL187" s="87"/>
      <c r="AM187" s="87"/>
      <c r="AN187" s="90" t="s">
        <v>160</v>
      </c>
      <c r="AO187" s="90" t="s">
        <v>1005</v>
      </c>
      <c r="AP187" s="82"/>
      <c r="AQ187" s="87" t="s">
        <v>60</v>
      </c>
      <c r="AR187" s="87" t="s">
        <v>398</v>
      </c>
      <c r="AS187" s="82"/>
      <c r="AT187" s="87">
        <v>100</v>
      </c>
      <c r="AU187" s="87">
        <v>11</v>
      </c>
      <c r="AV187" s="87">
        <f t="shared" si="5"/>
        <v>111</v>
      </c>
      <c r="AW187" s="87" t="str">
        <f t="shared" si="23"/>
        <v>No Aplica</v>
      </c>
      <c r="AX187" s="87" t="s">
        <v>78</v>
      </c>
      <c r="AY187" s="87"/>
      <c r="AZ187" s="87"/>
      <c r="BA187" s="91" t="s">
        <v>1006</v>
      </c>
      <c r="BB187" s="84"/>
      <c r="BC187" s="85"/>
      <c r="BD187" s="85"/>
    </row>
    <row r="188" spans="1:56" s="86" customFormat="1" ht="46.5" customHeight="1">
      <c r="A188" s="78">
        <v>183</v>
      </c>
      <c r="B188" s="79" t="s">
        <v>1007</v>
      </c>
      <c r="C188" s="88">
        <v>45376</v>
      </c>
      <c r="D188" s="89">
        <v>0.375</v>
      </c>
      <c r="E188" s="87" t="s">
        <v>93</v>
      </c>
      <c r="F188" s="87" t="s">
        <v>102</v>
      </c>
      <c r="G188" s="87" t="s">
        <v>95</v>
      </c>
      <c r="H188" s="90" t="s">
        <v>1008</v>
      </c>
      <c r="I188" s="90" t="s">
        <v>118</v>
      </c>
      <c r="J188" s="87" t="s">
        <v>119</v>
      </c>
      <c r="K188" s="87" t="s">
        <v>129</v>
      </c>
      <c r="L188" s="90" t="s">
        <v>1009</v>
      </c>
      <c r="M188" s="90">
        <v>3188799909</v>
      </c>
      <c r="N188" s="90" t="s">
        <v>1010</v>
      </c>
      <c r="O188" s="90" t="str">
        <f t="shared" si="12"/>
        <v>Distrital</v>
      </c>
      <c r="P188" s="87" t="s">
        <v>73</v>
      </c>
      <c r="Q188" s="87"/>
      <c r="R188" s="87"/>
      <c r="S188" s="87"/>
      <c r="T188" s="87"/>
      <c r="U188" s="87"/>
      <c r="V188" s="90" t="str">
        <f t="shared" si="13"/>
        <v>Distrital</v>
      </c>
      <c r="W188" s="87" t="s">
        <v>73</v>
      </c>
      <c r="X188" s="87"/>
      <c r="Y188" s="87"/>
      <c r="Z188" s="87"/>
      <c r="AA188" s="87"/>
      <c r="AB188" s="87"/>
      <c r="AC188" s="90" t="str">
        <f t="shared" si="14"/>
        <v>Distrital</v>
      </c>
      <c r="AD188" s="87" t="s">
        <v>73</v>
      </c>
      <c r="AE188" s="87"/>
      <c r="AF188" s="87"/>
      <c r="AG188" s="87"/>
      <c r="AH188" s="87"/>
      <c r="AI188" s="87"/>
      <c r="AJ188" s="87"/>
      <c r="AK188" s="87"/>
      <c r="AL188" s="87"/>
      <c r="AM188" s="87"/>
      <c r="AN188" s="90" t="s">
        <v>160</v>
      </c>
      <c r="AO188" s="92" t="s">
        <v>1011</v>
      </c>
      <c r="AP188" s="82"/>
      <c r="AQ188" s="87" t="s">
        <v>59</v>
      </c>
      <c r="AR188" s="87" t="s">
        <v>80</v>
      </c>
      <c r="AS188" s="82"/>
      <c r="AT188" s="87">
        <v>24</v>
      </c>
      <c r="AU188" s="87">
        <v>3</v>
      </c>
      <c r="AV188" s="87">
        <f t="shared" si="5"/>
        <v>27</v>
      </c>
      <c r="AW188" s="87" t="str">
        <f t="shared" si="23"/>
        <v>No Aplica</v>
      </c>
      <c r="AX188" s="87" t="s">
        <v>78</v>
      </c>
      <c r="AY188" s="87"/>
      <c r="AZ188" s="87"/>
      <c r="BA188" s="91" t="s">
        <v>1012</v>
      </c>
      <c r="BB188" s="84"/>
      <c r="BC188" s="85"/>
      <c r="BD188" s="85"/>
    </row>
    <row r="189" spans="1:56" s="86" customFormat="1" ht="46.5" customHeight="1">
      <c r="A189" s="87">
        <v>184</v>
      </c>
      <c r="B189" s="79" t="s">
        <v>1013</v>
      </c>
      <c r="C189" s="88">
        <v>45376</v>
      </c>
      <c r="D189" s="89">
        <v>0.66666666666666663</v>
      </c>
      <c r="E189" s="87" t="s">
        <v>93</v>
      </c>
      <c r="F189" s="87" t="s">
        <v>102</v>
      </c>
      <c r="G189" s="87" t="s">
        <v>95</v>
      </c>
      <c r="H189" s="90" t="s">
        <v>1014</v>
      </c>
      <c r="I189" s="90" t="s">
        <v>118</v>
      </c>
      <c r="J189" s="87" t="s">
        <v>119</v>
      </c>
      <c r="K189" s="87" t="s">
        <v>129</v>
      </c>
      <c r="L189" s="90" t="s">
        <v>891</v>
      </c>
      <c r="M189" s="90">
        <v>3244150125</v>
      </c>
      <c r="N189" s="90" t="s">
        <v>72</v>
      </c>
      <c r="O189" s="90" t="str">
        <f t="shared" si="12"/>
        <v>Distrital</v>
      </c>
      <c r="P189" s="87" t="s">
        <v>73</v>
      </c>
      <c r="Q189" s="87"/>
      <c r="R189" s="87"/>
      <c r="S189" s="87"/>
      <c r="T189" s="87"/>
      <c r="U189" s="87"/>
      <c r="V189" s="90" t="str">
        <f t="shared" si="13"/>
        <v>Distrital</v>
      </c>
      <c r="W189" s="87" t="s">
        <v>73</v>
      </c>
      <c r="X189" s="87"/>
      <c r="Y189" s="87"/>
      <c r="Z189" s="87"/>
      <c r="AA189" s="87"/>
      <c r="AB189" s="87"/>
      <c r="AC189" s="90" t="str">
        <f t="shared" si="14"/>
        <v>Distrital</v>
      </c>
      <c r="AD189" s="87" t="s">
        <v>73</v>
      </c>
      <c r="AE189" s="87"/>
      <c r="AF189" s="87"/>
      <c r="AG189" s="87"/>
      <c r="AH189" s="87"/>
      <c r="AI189" s="87"/>
      <c r="AJ189" s="87"/>
      <c r="AK189" s="87"/>
      <c r="AL189" s="87"/>
      <c r="AM189" s="87"/>
      <c r="AN189" s="90" t="s">
        <v>160</v>
      </c>
      <c r="AO189" s="92" t="s">
        <v>1015</v>
      </c>
      <c r="AP189" s="82"/>
      <c r="AQ189" s="87" t="s">
        <v>59</v>
      </c>
      <c r="AR189" s="87" t="s">
        <v>80</v>
      </c>
      <c r="AS189" s="82"/>
      <c r="AT189" s="87">
        <v>12</v>
      </c>
      <c r="AU189" s="87">
        <v>1</v>
      </c>
      <c r="AV189" s="87">
        <f t="shared" si="5"/>
        <v>13</v>
      </c>
      <c r="AW189" s="87" t="str">
        <f t="shared" si="23"/>
        <v>Lenguaje de señas, Accesibilidad Universal, Contenidos adaptados</v>
      </c>
      <c r="AX189" s="87" t="s">
        <v>211</v>
      </c>
      <c r="AY189" s="87" t="s">
        <v>246</v>
      </c>
      <c r="AZ189" s="87" t="s">
        <v>212</v>
      </c>
      <c r="BA189" s="91" t="s">
        <v>1016</v>
      </c>
      <c r="BB189" s="84"/>
      <c r="BC189" s="85"/>
      <c r="BD189" s="85"/>
    </row>
    <row r="190" spans="1:56" s="86" customFormat="1" ht="46.5" customHeight="1">
      <c r="A190" s="78">
        <v>185</v>
      </c>
      <c r="B190" s="79" t="s">
        <v>1017</v>
      </c>
      <c r="C190" s="88">
        <v>45377</v>
      </c>
      <c r="D190" s="89">
        <v>0.375</v>
      </c>
      <c r="E190" s="87" t="s">
        <v>58</v>
      </c>
      <c r="F190" s="87" t="s">
        <v>61</v>
      </c>
      <c r="G190" s="87" t="s">
        <v>62</v>
      </c>
      <c r="H190" s="90" t="s">
        <v>1018</v>
      </c>
      <c r="I190" s="90" t="s">
        <v>172</v>
      </c>
      <c r="J190" s="87" t="s">
        <v>119</v>
      </c>
      <c r="K190" s="87" t="s">
        <v>209</v>
      </c>
      <c r="L190" s="90" t="s">
        <v>794</v>
      </c>
      <c r="M190" s="90">
        <v>3143909467</v>
      </c>
      <c r="N190" s="90" t="s">
        <v>828</v>
      </c>
      <c r="O190" s="90" t="str">
        <f t="shared" si="12"/>
        <v>Distrital</v>
      </c>
      <c r="P190" s="87" t="s">
        <v>73</v>
      </c>
      <c r="Q190" s="87"/>
      <c r="R190" s="87"/>
      <c r="S190" s="87"/>
      <c r="T190" s="87"/>
      <c r="U190" s="87"/>
      <c r="V190" s="90" t="str">
        <f t="shared" si="13"/>
        <v>Distrital</v>
      </c>
      <c r="W190" s="87" t="s">
        <v>73</v>
      </c>
      <c r="X190" s="87"/>
      <c r="Y190" s="87"/>
      <c r="Z190" s="87"/>
      <c r="AA190" s="87"/>
      <c r="AB190" s="87"/>
      <c r="AC190" s="90" t="str">
        <f t="shared" si="14"/>
        <v>Distrital</v>
      </c>
      <c r="AD190" s="87" t="s">
        <v>73</v>
      </c>
      <c r="AE190" s="87"/>
      <c r="AF190" s="87"/>
      <c r="AG190" s="87"/>
      <c r="AH190" s="87"/>
      <c r="AI190" s="87"/>
      <c r="AJ190" s="87"/>
      <c r="AK190" s="87"/>
      <c r="AL190" s="87"/>
      <c r="AM190" s="87"/>
      <c r="AN190" s="90" t="s">
        <v>160</v>
      </c>
      <c r="AO190" s="90" t="s">
        <v>829</v>
      </c>
      <c r="AP190" s="82"/>
      <c r="AQ190" s="87" t="s">
        <v>60</v>
      </c>
      <c r="AR190" s="87" t="s">
        <v>398</v>
      </c>
      <c r="AS190" s="82"/>
      <c r="AT190" s="87">
        <v>17</v>
      </c>
      <c r="AU190" s="87">
        <v>2</v>
      </c>
      <c r="AV190" s="87">
        <f t="shared" si="5"/>
        <v>19</v>
      </c>
      <c r="AW190" s="87" t="str">
        <f t="shared" si="23"/>
        <v>No Aplica</v>
      </c>
      <c r="AX190" s="87" t="s">
        <v>78</v>
      </c>
      <c r="AY190" s="87"/>
      <c r="AZ190" s="87"/>
      <c r="BA190" s="91" t="s">
        <v>1019</v>
      </c>
      <c r="BB190" s="84"/>
      <c r="BC190" s="85"/>
      <c r="BD190" s="85"/>
    </row>
    <row r="191" spans="1:56" s="86" customFormat="1" ht="46.5" customHeight="1">
      <c r="A191" s="87">
        <v>186</v>
      </c>
      <c r="B191" s="79" t="s">
        <v>1020</v>
      </c>
      <c r="C191" s="88">
        <v>45377</v>
      </c>
      <c r="D191" s="89">
        <v>0.375</v>
      </c>
      <c r="E191" s="87" t="s">
        <v>93</v>
      </c>
      <c r="F191" s="87" t="s">
        <v>102</v>
      </c>
      <c r="G191" s="87" t="s">
        <v>95</v>
      </c>
      <c r="H191" s="90" t="s">
        <v>1021</v>
      </c>
      <c r="I191" s="90" t="s">
        <v>118</v>
      </c>
      <c r="J191" s="87" t="s">
        <v>119</v>
      </c>
      <c r="K191" s="87" t="s">
        <v>129</v>
      </c>
      <c r="L191" s="90" t="s">
        <v>1022</v>
      </c>
      <c r="M191" s="90">
        <v>3212029774</v>
      </c>
      <c r="N191" s="90" t="s">
        <v>906</v>
      </c>
      <c r="O191" s="90" t="str">
        <f t="shared" si="12"/>
        <v>Distrital</v>
      </c>
      <c r="P191" s="87" t="s">
        <v>73</v>
      </c>
      <c r="Q191" s="87"/>
      <c r="R191" s="87"/>
      <c r="S191" s="87"/>
      <c r="T191" s="87"/>
      <c r="U191" s="87"/>
      <c r="V191" s="90" t="str">
        <f t="shared" si="13"/>
        <v>Distrital</v>
      </c>
      <c r="W191" s="87" t="s">
        <v>73</v>
      </c>
      <c r="X191" s="87"/>
      <c r="Y191" s="87"/>
      <c r="Z191" s="87"/>
      <c r="AA191" s="87"/>
      <c r="AB191" s="87"/>
      <c r="AC191" s="90" t="str">
        <f t="shared" si="14"/>
        <v>Distrital</v>
      </c>
      <c r="AD191" s="87" t="s">
        <v>73</v>
      </c>
      <c r="AE191" s="87"/>
      <c r="AF191" s="87"/>
      <c r="AG191" s="87"/>
      <c r="AH191" s="87"/>
      <c r="AI191" s="87"/>
      <c r="AJ191" s="87"/>
      <c r="AK191" s="87"/>
      <c r="AL191" s="87"/>
      <c r="AM191" s="87"/>
      <c r="AN191" s="90" t="s">
        <v>160</v>
      </c>
      <c r="AO191" s="92" t="s">
        <v>1023</v>
      </c>
      <c r="AP191" s="82"/>
      <c r="AQ191" s="87" t="s">
        <v>59</v>
      </c>
      <c r="AR191" s="87" t="s">
        <v>80</v>
      </c>
      <c r="AS191" s="82"/>
      <c r="AT191" s="87">
        <v>39</v>
      </c>
      <c r="AU191" s="87">
        <v>1</v>
      </c>
      <c r="AV191" s="87">
        <f t="shared" si="5"/>
        <v>40</v>
      </c>
      <c r="AW191" s="87" t="str">
        <f t="shared" si="23"/>
        <v>No Aplica</v>
      </c>
      <c r="AX191" s="87" t="s">
        <v>78</v>
      </c>
      <c r="AY191" s="87"/>
      <c r="AZ191" s="87"/>
      <c r="BA191" s="91" t="s">
        <v>1024</v>
      </c>
      <c r="BB191" s="84"/>
      <c r="BC191" s="85"/>
      <c r="BD191" s="85"/>
    </row>
    <row r="192" spans="1:56" s="86" customFormat="1" ht="46.5" customHeight="1">
      <c r="A192" s="78">
        <v>187</v>
      </c>
      <c r="B192" s="79" t="s">
        <v>1025</v>
      </c>
      <c r="C192" s="88">
        <v>45377</v>
      </c>
      <c r="D192" s="89">
        <v>0.66666666666666663</v>
      </c>
      <c r="E192" s="87" t="s">
        <v>93</v>
      </c>
      <c r="F192" s="87" t="s">
        <v>102</v>
      </c>
      <c r="G192" s="87" t="s">
        <v>95</v>
      </c>
      <c r="H192" s="90" t="s">
        <v>1026</v>
      </c>
      <c r="I192" s="90" t="s">
        <v>118</v>
      </c>
      <c r="J192" s="87" t="s">
        <v>119</v>
      </c>
      <c r="K192" s="87" t="s">
        <v>129</v>
      </c>
      <c r="L192" s="90" t="s">
        <v>1009</v>
      </c>
      <c r="M192" s="90">
        <v>3188799909</v>
      </c>
      <c r="N192" s="90" t="s">
        <v>996</v>
      </c>
      <c r="O192" s="90" t="str">
        <f t="shared" si="12"/>
        <v>Distrital</v>
      </c>
      <c r="P192" s="87" t="s">
        <v>73</v>
      </c>
      <c r="Q192" s="87"/>
      <c r="R192" s="87"/>
      <c r="S192" s="87"/>
      <c r="T192" s="87"/>
      <c r="U192" s="87"/>
      <c r="V192" s="90" t="str">
        <f t="shared" si="13"/>
        <v>Distrital</v>
      </c>
      <c r="W192" s="87" t="s">
        <v>73</v>
      </c>
      <c r="X192" s="87"/>
      <c r="Y192" s="87"/>
      <c r="Z192" s="87"/>
      <c r="AA192" s="87"/>
      <c r="AB192" s="87"/>
      <c r="AC192" s="90" t="str">
        <f t="shared" si="14"/>
        <v>Distrital</v>
      </c>
      <c r="AD192" s="87" t="s">
        <v>73</v>
      </c>
      <c r="AE192" s="87"/>
      <c r="AF192" s="87"/>
      <c r="AG192" s="87"/>
      <c r="AH192" s="87"/>
      <c r="AI192" s="87"/>
      <c r="AJ192" s="87"/>
      <c r="AK192" s="87"/>
      <c r="AL192" s="87"/>
      <c r="AM192" s="87"/>
      <c r="AN192" s="90" t="s">
        <v>160</v>
      </c>
      <c r="AO192" s="92" t="s">
        <v>1027</v>
      </c>
      <c r="AP192" s="82"/>
      <c r="AQ192" s="87" t="s">
        <v>59</v>
      </c>
      <c r="AR192" s="87" t="s">
        <v>80</v>
      </c>
      <c r="AS192" s="82"/>
      <c r="AT192" s="87">
        <v>73</v>
      </c>
      <c r="AU192" s="87">
        <v>3</v>
      </c>
      <c r="AV192" s="87">
        <f t="shared" si="5"/>
        <v>76</v>
      </c>
      <c r="AW192" s="87" t="str">
        <f t="shared" si="23"/>
        <v>No Aplica</v>
      </c>
      <c r="AX192" s="87" t="s">
        <v>78</v>
      </c>
      <c r="AY192" s="87"/>
      <c r="AZ192" s="87"/>
      <c r="BA192" s="91" t="s">
        <v>1028</v>
      </c>
      <c r="BB192" s="84"/>
      <c r="BC192" s="85"/>
      <c r="BD192" s="85"/>
    </row>
    <row r="193" spans="1:56" s="86" customFormat="1" ht="46.5" customHeight="1">
      <c r="A193" s="87">
        <v>188</v>
      </c>
      <c r="B193" s="79" t="s">
        <v>1029</v>
      </c>
      <c r="C193" s="88">
        <v>45377</v>
      </c>
      <c r="D193" s="89">
        <v>0.70833333333333337</v>
      </c>
      <c r="E193" s="87" t="s">
        <v>58</v>
      </c>
      <c r="F193" s="87" t="s">
        <v>61</v>
      </c>
      <c r="G193" s="87" t="s">
        <v>62</v>
      </c>
      <c r="H193" s="90" t="s">
        <v>392</v>
      </c>
      <c r="I193" s="90" t="s">
        <v>172</v>
      </c>
      <c r="J193" s="87" t="s">
        <v>173</v>
      </c>
      <c r="K193" s="87"/>
      <c r="L193" s="90" t="s">
        <v>1030</v>
      </c>
      <c r="M193" s="90" t="s">
        <v>1031</v>
      </c>
      <c r="N193" s="90" t="s">
        <v>72</v>
      </c>
      <c r="O193" s="90" t="str">
        <f t="shared" si="12"/>
        <v>Distrital</v>
      </c>
      <c r="P193" s="87" t="s">
        <v>73</v>
      </c>
      <c r="Q193" s="87"/>
      <c r="R193" s="87"/>
      <c r="S193" s="87"/>
      <c r="T193" s="87"/>
      <c r="U193" s="87"/>
      <c r="V193" s="90" t="str">
        <f t="shared" si="13"/>
        <v>Distrital</v>
      </c>
      <c r="W193" s="87" t="s">
        <v>73</v>
      </c>
      <c r="X193" s="87"/>
      <c r="Y193" s="87"/>
      <c r="Z193" s="87"/>
      <c r="AA193" s="87"/>
      <c r="AB193" s="87"/>
      <c r="AC193" s="90" t="str">
        <f t="shared" si="14"/>
        <v>Distrital</v>
      </c>
      <c r="AD193" s="87" t="s">
        <v>73</v>
      </c>
      <c r="AE193" s="87"/>
      <c r="AF193" s="87"/>
      <c r="AG193" s="87"/>
      <c r="AH193" s="87"/>
      <c r="AI193" s="87"/>
      <c r="AJ193" s="87"/>
      <c r="AK193" s="87"/>
      <c r="AL193" s="87"/>
      <c r="AM193" s="87"/>
      <c r="AN193" s="90" t="s">
        <v>160</v>
      </c>
      <c r="AO193" s="90" t="s">
        <v>91</v>
      </c>
      <c r="AP193" s="82"/>
      <c r="AQ193" s="87" t="s">
        <v>60</v>
      </c>
      <c r="AR193" s="87" t="s">
        <v>398</v>
      </c>
      <c r="AS193" s="82"/>
      <c r="AT193" s="87">
        <v>24</v>
      </c>
      <c r="AU193" s="87">
        <v>6</v>
      </c>
      <c r="AV193" s="87">
        <f t="shared" si="5"/>
        <v>30</v>
      </c>
      <c r="AW193" s="87" t="str">
        <f t="shared" si="23"/>
        <v>Horarios Acordes</v>
      </c>
      <c r="AX193" s="87" t="s">
        <v>213</v>
      </c>
      <c r="AY193" s="87"/>
      <c r="AZ193" s="87"/>
      <c r="BA193" s="91" t="s">
        <v>1032</v>
      </c>
      <c r="BB193" s="84"/>
      <c r="BC193" s="85"/>
      <c r="BD193" s="85"/>
    </row>
    <row r="194" spans="1:56" s="86" customFormat="1" ht="46.5" customHeight="1">
      <c r="A194" s="78">
        <v>189</v>
      </c>
      <c r="B194" s="79" t="s">
        <v>1020</v>
      </c>
      <c r="C194" s="88">
        <v>45378</v>
      </c>
      <c r="D194" s="89">
        <v>0.375</v>
      </c>
      <c r="E194" s="87" t="s">
        <v>93</v>
      </c>
      <c r="F194" s="87" t="s">
        <v>102</v>
      </c>
      <c r="G194" s="87" t="s">
        <v>95</v>
      </c>
      <c r="H194" s="90" t="s">
        <v>1034</v>
      </c>
      <c r="I194" s="90" t="s">
        <v>118</v>
      </c>
      <c r="J194" s="87" t="s">
        <v>119</v>
      </c>
      <c r="K194" s="87" t="s">
        <v>129</v>
      </c>
      <c r="L194" s="90" t="s">
        <v>905</v>
      </c>
      <c r="M194" s="91">
        <v>3212029774</v>
      </c>
      <c r="N194" s="90" t="s">
        <v>906</v>
      </c>
      <c r="O194" s="90" t="str">
        <f t="shared" si="12"/>
        <v>Distrital</v>
      </c>
      <c r="P194" s="87" t="s">
        <v>73</v>
      </c>
      <c r="Q194" s="87"/>
      <c r="R194" s="87"/>
      <c r="S194" s="87"/>
      <c r="T194" s="87"/>
      <c r="U194" s="87"/>
      <c r="V194" s="90" t="str">
        <f t="shared" si="13"/>
        <v>Distrital</v>
      </c>
      <c r="W194" s="87" t="s">
        <v>73</v>
      </c>
      <c r="X194" s="87"/>
      <c r="Y194" s="87"/>
      <c r="Z194" s="87"/>
      <c r="AA194" s="87"/>
      <c r="AB194" s="87"/>
      <c r="AC194" s="90" t="str">
        <f t="shared" si="14"/>
        <v>Distrital</v>
      </c>
      <c r="AD194" s="87" t="s">
        <v>73</v>
      </c>
      <c r="AE194" s="87"/>
      <c r="AF194" s="87"/>
      <c r="AG194" s="87"/>
      <c r="AH194" s="87"/>
      <c r="AI194" s="87"/>
      <c r="AJ194" s="87"/>
      <c r="AK194" s="87"/>
      <c r="AL194" s="87"/>
      <c r="AM194" s="87"/>
      <c r="AN194" s="90" t="s">
        <v>160</v>
      </c>
      <c r="AO194" s="92" t="s">
        <v>1035</v>
      </c>
      <c r="AP194" s="82"/>
      <c r="AQ194" s="87" t="s">
        <v>59</v>
      </c>
      <c r="AR194" s="87" t="s">
        <v>80</v>
      </c>
      <c r="AS194" s="82"/>
      <c r="AT194" s="87">
        <v>39</v>
      </c>
      <c r="AU194" s="87">
        <v>1</v>
      </c>
      <c r="AV194" s="87">
        <f t="shared" si="5"/>
        <v>40</v>
      </c>
      <c r="AW194" s="87" t="str">
        <f t="shared" si="23"/>
        <v>No Aplica</v>
      </c>
      <c r="AX194" s="87" t="s">
        <v>78</v>
      </c>
      <c r="AY194" s="87"/>
      <c r="AZ194" s="87"/>
      <c r="BA194" s="91" t="s">
        <v>1036</v>
      </c>
      <c r="BB194" s="84"/>
      <c r="BC194" s="85"/>
      <c r="BD194" s="85"/>
    </row>
    <row r="195" spans="1:56" s="86" customFormat="1" ht="46.5" customHeight="1">
      <c r="A195" s="87">
        <v>190</v>
      </c>
      <c r="B195" s="79" t="s">
        <v>1037</v>
      </c>
      <c r="C195" s="88">
        <v>45378</v>
      </c>
      <c r="D195" s="89">
        <v>0.58333333333333337</v>
      </c>
      <c r="E195" s="87" t="s">
        <v>93</v>
      </c>
      <c r="F195" s="87" t="s">
        <v>102</v>
      </c>
      <c r="G195" s="87" t="s">
        <v>95</v>
      </c>
      <c r="H195" s="90" t="s">
        <v>1038</v>
      </c>
      <c r="I195" s="90" t="s">
        <v>118</v>
      </c>
      <c r="J195" s="87" t="s">
        <v>119</v>
      </c>
      <c r="K195" s="87" t="s">
        <v>129</v>
      </c>
      <c r="L195" s="90" t="s">
        <v>891</v>
      </c>
      <c r="M195" s="91" t="s">
        <v>1039</v>
      </c>
      <c r="N195" s="90" t="s">
        <v>980</v>
      </c>
      <c r="O195" s="90" t="str">
        <f t="shared" si="12"/>
        <v>Distrital</v>
      </c>
      <c r="P195" s="87" t="s">
        <v>73</v>
      </c>
      <c r="Q195" s="87"/>
      <c r="R195" s="87"/>
      <c r="S195" s="87"/>
      <c r="T195" s="87"/>
      <c r="U195" s="87"/>
      <c r="V195" s="90" t="str">
        <f t="shared" si="13"/>
        <v>Distrital</v>
      </c>
      <c r="W195" s="87" t="s">
        <v>73</v>
      </c>
      <c r="X195" s="87"/>
      <c r="Y195" s="87"/>
      <c r="Z195" s="87"/>
      <c r="AA195" s="87"/>
      <c r="AB195" s="87"/>
      <c r="AC195" s="90" t="str">
        <f t="shared" si="14"/>
        <v>Distrital</v>
      </c>
      <c r="AD195" s="87" t="s">
        <v>73</v>
      </c>
      <c r="AE195" s="87"/>
      <c r="AF195" s="87"/>
      <c r="AG195" s="87"/>
      <c r="AH195" s="87"/>
      <c r="AI195" s="87"/>
      <c r="AJ195" s="87"/>
      <c r="AK195" s="87"/>
      <c r="AL195" s="87"/>
      <c r="AM195" s="87"/>
      <c r="AN195" s="90" t="s">
        <v>160</v>
      </c>
      <c r="AO195" s="92" t="s">
        <v>1040</v>
      </c>
      <c r="AP195" s="82"/>
      <c r="AQ195" s="87" t="s">
        <v>60</v>
      </c>
      <c r="AR195" s="87" t="s">
        <v>77</v>
      </c>
      <c r="AS195" s="82"/>
      <c r="AT195" s="87">
        <v>18</v>
      </c>
      <c r="AU195" s="87">
        <v>1</v>
      </c>
      <c r="AV195" s="87">
        <f t="shared" si="5"/>
        <v>19</v>
      </c>
      <c r="AW195" s="87" t="str">
        <f t="shared" si="23"/>
        <v>Lenguaje de señas, Accesibilidad Universal, Horarios Acordes</v>
      </c>
      <c r="AX195" s="87" t="s">
        <v>211</v>
      </c>
      <c r="AY195" s="87" t="s">
        <v>246</v>
      </c>
      <c r="AZ195" s="87" t="s">
        <v>213</v>
      </c>
      <c r="BA195" s="91" t="s">
        <v>1041</v>
      </c>
      <c r="BB195" s="84"/>
      <c r="BC195" s="85"/>
      <c r="BD195" s="85"/>
    </row>
    <row r="196" spans="1:56" s="86" customFormat="1" ht="46.5" customHeight="1">
      <c r="A196" s="78">
        <v>191</v>
      </c>
      <c r="B196" s="79" t="s">
        <v>1042</v>
      </c>
      <c r="C196" s="88">
        <v>45378</v>
      </c>
      <c r="D196" s="89">
        <v>0.58333333333333337</v>
      </c>
      <c r="E196" s="87" t="s">
        <v>93</v>
      </c>
      <c r="F196" s="87" t="s">
        <v>102</v>
      </c>
      <c r="G196" s="87" t="s">
        <v>95</v>
      </c>
      <c r="H196" s="90" t="s">
        <v>1043</v>
      </c>
      <c r="I196" s="90" t="s">
        <v>118</v>
      </c>
      <c r="J196" s="87" t="s">
        <v>119</v>
      </c>
      <c r="K196" s="87" t="s">
        <v>129</v>
      </c>
      <c r="L196" s="90" t="s">
        <v>735</v>
      </c>
      <c r="M196" s="91">
        <v>3178255261</v>
      </c>
      <c r="N196" s="90" t="s">
        <v>736</v>
      </c>
      <c r="O196" s="90" t="str">
        <f t="shared" si="12"/>
        <v>Distrital</v>
      </c>
      <c r="P196" s="87" t="s">
        <v>73</v>
      </c>
      <c r="Q196" s="87"/>
      <c r="R196" s="87"/>
      <c r="S196" s="87"/>
      <c r="T196" s="87"/>
      <c r="U196" s="87"/>
      <c r="V196" s="90" t="str">
        <f t="shared" si="13"/>
        <v>Distrital</v>
      </c>
      <c r="W196" s="87" t="s">
        <v>73</v>
      </c>
      <c r="X196" s="87"/>
      <c r="Y196" s="87"/>
      <c r="Z196" s="87"/>
      <c r="AA196" s="87"/>
      <c r="AB196" s="87"/>
      <c r="AC196" s="90" t="str">
        <f t="shared" si="14"/>
        <v>Distrital</v>
      </c>
      <c r="AD196" s="87" t="s">
        <v>73</v>
      </c>
      <c r="AE196" s="87"/>
      <c r="AF196" s="87"/>
      <c r="AG196" s="87"/>
      <c r="AH196" s="87"/>
      <c r="AI196" s="87"/>
      <c r="AJ196" s="87"/>
      <c r="AK196" s="87"/>
      <c r="AL196" s="87"/>
      <c r="AM196" s="87"/>
      <c r="AN196" s="90" t="s">
        <v>160</v>
      </c>
      <c r="AO196" s="92" t="s">
        <v>1044</v>
      </c>
      <c r="AP196" s="82"/>
      <c r="AQ196" s="87" t="s">
        <v>60</v>
      </c>
      <c r="AR196" s="87" t="s">
        <v>77</v>
      </c>
      <c r="AS196" s="82"/>
      <c r="AT196" s="87">
        <v>8</v>
      </c>
      <c r="AU196" s="87">
        <v>2</v>
      </c>
      <c r="AV196" s="87">
        <f t="shared" si="5"/>
        <v>10</v>
      </c>
      <c r="AW196" s="87" t="str">
        <f t="shared" si="23"/>
        <v>No Aplica</v>
      </c>
      <c r="AX196" s="87" t="s">
        <v>78</v>
      </c>
      <c r="AY196" s="87"/>
      <c r="AZ196" s="87"/>
      <c r="BA196" s="91" t="s">
        <v>1045</v>
      </c>
      <c r="BB196" s="84"/>
      <c r="BC196" s="85"/>
      <c r="BD196" s="85"/>
    </row>
    <row r="197" spans="1:56" s="86" customFormat="1" ht="46.5" customHeight="1">
      <c r="A197" s="87">
        <v>192</v>
      </c>
      <c r="B197" s="79" t="s">
        <v>1046</v>
      </c>
      <c r="C197" s="88">
        <v>45380</v>
      </c>
      <c r="D197" s="89">
        <v>0.58333333333333337</v>
      </c>
      <c r="E197" s="87" t="s">
        <v>93</v>
      </c>
      <c r="F197" s="87" t="s">
        <v>102</v>
      </c>
      <c r="G197" s="87" t="s">
        <v>95</v>
      </c>
      <c r="H197" s="90" t="s">
        <v>1047</v>
      </c>
      <c r="I197" s="90" t="s">
        <v>118</v>
      </c>
      <c r="J197" s="87" t="s">
        <v>119</v>
      </c>
      <c r="K197" s="87" t="s">
        <v>129</v>
      </c>
      <c r="L197" s="90" t="s">
        <v>1048</v>
      </c>
      <c r="M197" s="91">
        <v>3178255261</v>
      </c>
      <c r="N197" s="90" t="s">
        <v>736</v>
      </c>
      <c r="O197" s="90" t="str">
        <f t="shared" si="12"/>
        <v>Distrital</v>
      </c>
      <c r="P197" s="87" t="s">
        <v>73</v>
      </c>
      <c r="Q197" s="87"/>
      <c r="R197" s="87"/>
      <c r="S197" s="87"/>
      <c r="T197" s="87"/>
      <c r="U197" s="87"/>
      <c r="V197" s="90" t="str">
        <f t="shared" si="13"/>
        <v>Distrital</v>
      </c>
      <c r="W197" s="87" t="s">
        <v>73</v>
      </c>
      <c r="X197" s="87"/>
      <c r="Y197" s="87"/>
      <c r="Z197" s="87"/>
      <c r="AA197" s="87"/>
      <c r="AB197" s="87"/>
      <c r="AC197" s="90" t="str">
        <f t="shared" si="14"/>
        <v>Distrital</v>
      </c>
      <c r="AD197" s="87" t="s">
        <v>73</v>
      </c>
      <c r="AE197" s="87"/>
      <c r="AF197" s="87"/>
      <c r="AG197" s="87"/>
      <c r="AH197" s="87"/>
      <c r="AI197" s="87"/>
      <c r="AJ197" s="87"/>
      <c r="AK197" s="87"/>
      <c r="AL197" s="87"/>
      <c r="AM197" s="87"/>
      <c r="AN197" s="90" t="s">
        <v>160</v>
      </c>
      <c r="AO197" s="92" t="s">
        <v>1049</v>
      </c>
      <c r="AP197" s="82"/>
      <c r="AQ197" s="87" t="s">
        <v>60</v>
      </c>
      <c r="AR197" s="87" t="s">
        <v>77</v>
      </c>
      <c r="AS197" s="82"/>
      <c r="AT197" s="87">
        <v>8</v>
      </c>
      <c r="AU197" s="87">
        <v>3</v>
      </c>
      <c r="AV197" s="87">
        <f t="shared" si="5"/>
        <v>11</v>
      </c>
      <c r="AW197" s="87" t="str">
        <f t="shared" si="23"/>
        <v>No Aplica</v>
      </c>
      <c r="AX197" s="87" t="s">
        <v>78</v>
      </c>
      <c r="AY197" s="87"/>
      <c r="AZ197" s="87"/>
      <c r="BA197" s="91" t="s">
        <v>1050</v>
      </c>
      <c r="BB197" s="84"/>
      <c r="BC197" s="85"/>
      <c r="BD197" s="85"/>
    </row>
    <row r="198" spans="1:56" s="86" customFormat="1" ht="46.5" customHeight="1">
      <c r="A198" s="78">
        <v>193</v>
      </c>
      <c r="B198" s="79" t="s">
        <v>1051</v>
      </c>
      <c r="C198" s="88">
        <v>45380</v>
      </c>
      <c r="D198" s="89">
        <v>0.58333333333333337</v>
      </c>
      <c r="E198" s="87" t="s">
        <v>93</v>
      </c>
      <c r="F198" s="87" t="s">
        <v>102</v>
      </c>
      <c r="G198" s="87" t="s">
        <v>95</v>
      </c>
      <c r="H198" s="90" t="s">
        <v>1052</v>
      </c>
      <c r="I198" s="90" t="s">
        <v>118</v>
      </c>
      <c r="J198" s="87" t="s">
        <v>119</v>
      </c>
      <c r="K198" s="87" t="s">
        <v>129</v>
      </c>
      <c r="L198" s="90" t="s">
        <v>891</v>
      </c>
      <c r="M198" s="91">
        <v>3244150125</v>
      </c>
      <c r="N198" s="90" t="s">
        <v>980</v>
      </c>
      <c r="O198" s="90" t="str">
        <f t="shared" ref="O198:O261" si="24">_xlfn.TEXTJOIN(", ",TRUE,$P198:$T198)</f>
        <v>Distrital</v>
      </c>
      <c r="P198" s="87" t="s">
        <v>73</v>
      </c>
      <c r="Q198" s="87"/>
      <c r="R198" s="87"/>
      <c r="S198" s="87"/>
      <c r="T198" s="87"/>
      <c r="U198" s="87"/>
      <c r="V198" s="90" t="str">
        <f t="shared" ref="V198:V261" si="25">_xlfn.TEXTJOIN(", ",TRUE,$W198:$AB198)</f>
        <v>Distrital</v>
      </c>
      <c r="W198" s="87" t="s">
        <v>73</v>
      </c>
      <c r="X198" s="87"/>
      <c r="Y198" s="87"/>
      <c r="Z198" s="87"/>
      <c r="AA198" s="87"/>
      <c r="AB198" s="87"/>
      <c r="AC198" s="90" t="str">
        <f t="shared" ref="AC198:AC261" si="26">_xlfn.TEXTJOIN(", ",TRUE,$AD198:$AM198)</f>
        <v>Distrital</v>
      </c>
      <c r="AD198" s="87" t="s">
        <v>73</v>
      </c>
      <c r="AE198" s="87"/>
      <c r="AF198" s="87"/>
      <c r="AG198" s="87"/>
      <c r="AH198" s="87"/>
      <c r="AI198" s="87"/>
      <c r="AJ198" s="87"/>
      <c r="AK198" s="87"/>
      <c r="AL198" s="87"/>
      <c r="AM198" s="87"/>
      <c r="AN198" s="90" t="s">
        <v>160</v>
      </c>
      <c r="AO198" s="92" t="s">
        <v>1053</v>
      </c>
      <c r="AP198" s="82"/>
      <c r="AQ198" s="87" t="s">
        <v>60</v>
      </c>
      <c r="AR198" s="87" t="s">
        <v>77</v>
      </c>
      <c r="AS198" s="82"/>
      <c r="AT198" s="87">
        <v>11</v>
      </c>
      <c r="AU198" s="87">
        <v>1</v>
      </c>
      <c r="AV198" s="87">
        <f t="shared" si="5"/>
        <v>12</v>
      </c>
      <c r="AW198" s="87" t="str">
        <f t="shared" si="23"/>
        <v>Lenguaje de señas, Accesibilidad Universal, Contenidos adaptados</v>
      </c>
      <c r="AX198" s="87" t="s">
        <v>211</v>
      </c>
      <c r="AY198" s="87" t="s">
        <v>246</v>
      </c>
      <c r="AZ198" s="87" t="s">
        <v>212</v>
      </c>
      <c r="BA198" s="91" t="s">
        <v>1054</v>
      </c>
      <c r="BB198" s="84"/>
      <c r="BC198" s="85"/>
      <c r="BD198" s="85"/>
    </row>
    <row r="199" spans="1:56" s="86" customFormat="1" ht="46.5" customHeight="1">
      <c r="A199" s="87">
        <v>194</v>
      </c>
      <c r="B199" s="79" t="s">
        <v>1055</v>
      </c>
      <c r="C199" s="88">
        <v>45380</v>
      </c>
      <c r="D199" s="89">
        <v>0.59375</v>
      </c>
      <c r="E199" s="87" t="s">
        <v>93</v>
      </c>
      <c r="F199" s="87" t="s">
        <v>102</v>
      </c>
      <c r="G199" s="87" t="s">
        <v>95</v>
      </c>
      <c r="H199" s="90" t="s">
        <v>1056</v>
      </c>
      <c r="I199" s="90" t="s">
        <v>118</v>
      </c>
      <c r="J199" s="87" t="s">
        <v>119</v>
      </c>
      <c r="K199" s="87" t="s">
        <v>129</v>
      </c>
      <c r="L199" s="90" t="s">
        <v>691</v>
      </c>
      <c r="M199" s="91">
        <v>3013090210</v>
      </c>
      <c r="N199" s="90" t="s">
        <v>692</v>
      </c>
      <c r="O199" s="90" t="str">
        <f t="shared" si="24"/>
        <v>Distrital</v>
      </c>
      <c r="P199" s="87" t="s">
        <v>73</v>
      </c>
      <c r="Q199" s="87"/>
      <c r="R199" s="87"/>
      <c r="S199" s="87"/>
      <c r="T199" s="87"/>
      <c r="U199" s="87"/>
      <c r="V199" s="90" t="str">
        <f t="shared" si="25"/>
        <v>Distrital</v>
      </c>
      <c r="W199" s="87" t="s">
        <v>73</v>
      </c>
      <c r="X199" s="87"/>
      <c r="Y199" s="87"/>
      <c r="Z199" s="87"/>
      <c r="AA199" s="87"/>
      <c r="AB199" s="87"/>
      <c r="AC199" s="90" t="str">
        <f t="shared" si="26"/>
        <v>Distrital</v>
      </c>
      <c r="AD199" s="87" t="s">
        <v>73</v>
      </c>
      <c r="AE199" s="87"/>
      <c r="AF199" s="87"/>
      <c r="AG199" s="87"/>
      <c r="AH199" s="87"/>
      <c r="AI199" s="87"/>
      <c r="AJ199" s="87"/>
      <c r="AK199" s="87"/>
      <c r="AL199" s="87"/>
      <c r="AM199" s="87"/>
      <c r="AN199" s="90" t="s">
        <v>160</v>
      </c>
      <c r="AO199" s="92" t="s">
        <v>1057</v>
      </c>
      <c r="AP199" s="82"/>
      <c r="AQ199" s="87" t="s">
        <v>60</v>
      </c>
      <c r="AR199" s="87" t="s">
        <v>77</v>
      </c>
      <c r="AS199" s="82"/>
      <c r="AT199" s="87">
        <v>7</v>
      </c>
      <c r="AU199" s="87">
        <v>1</v>
      </c>
      <c r="AV199" s="87">
        <f t="shared" si="5"/>
        <v>8</v>
      </c>
      <c r="AW199" s="87" t="str">
        <f t="shared" si="23"/>
        <v>No Aplica</v>
      </c>
      <c r="AX199" s="87" t="s">
        <v>78</v>
      </c>
      <c r="AY199" s="87"/>
      <c r="AZ199" s="87"/>
      <c r="BA199" s="91" t="s">
        <v>1058</v>
      </c>
      <c r="BB199" s="84"/>
      <c r="BC199" s="85"/>
      <c r="BD199" s="85"/>
    </row>
    <row r="200" spans="1:56" s="86" customFormat="1" ht="46.5" customHeight="1">
      <c r="A200" s="78">
        <v>195</v>
      </c>
      <c r="B200" s="79" t="s">
        <v>1059</v>
      </c>
      <c r="C200" s="88">
        <v>45380</v>
      </c>
      <c r="D200" s="89">
        <v>0.79166666666666663</v>
      </c>
      <c r="E200" s="87" t="s">
        <v>93</v>
      </c>
      <c r="F200" s="87" t="s">
        <v>102</v>
      </c>
      <c r="G200" s="87" t="s">
        <v>95</v>
      </c>
      <c r="H200" s="90" t="s">
        <v>1060</v>
      </c>
      <c r="I200" s="90" t="s">
        <v>118</v>
      </c>
      <c r="J200" s="87" t="s">
        <v>119</v>
      </c>
      <c r="K200" s="87" t="s">
        <v>129</v>
      </c>
      <c r="L200" s="90" t="s">
        <v>881</v>
      </c>
      <c r="M200" s="91" t="s">
        <v>882</v>
      </c>
      <c r="N200" s="90" t="s">
        <v>883</v>
      </c>
      <c r="O200" s="90" t="str">
        <f t="shared" si="24"/>
        <v>Distrital</v>
      </c>
      <c r="P200" s="87" t="s">
        <v>73</v>
      </c>
      <c r="Q200" s="87"/>
      <c r="R200" s="87"/>
      <c r="S200" s="87"/>
      <c r="T200" s="87"/>
      <c r="U200" s="87"/>
      <c r="V200" s="90" t="str">
        <f t="shared" si="25"/>
        <v>Distrital</v>
      </c>
      <c r="W200" s="87" t="s">
        <v>73</v>
      </c>
      <c r="X200" s="87"/>
      <c r="Y200" s="87"/>
      <c r="Z200" s="87"/>
      <c r="AA200" s="87"/>
      <c r="AB200" s="87"/>
      <c r="AC200" s="90" t="str">
        <f t="shared" si="26"/>
        <v>Distrital</v>
      </c>
      <c r="AD200" s="87" t="s">
        <v>73</v>
      </c>
      <c r="AE200" s="87"/>
      <c r="AF200" s="87"/>
      <c r="AG200" s="87"/>
      <c r="AH200" s="87"/>
      <c r="AI200" s="87"/>
      <c r="AJ200" s="87"/>
      <c r="AK200" s="87"/>
      <c r="AL200" s="87"/>
      <c r="AM200" s="87"/>
      <c r="AN200" s="90" t="s">
        <v>160</v>
      </c>
      <c r="AO200" s="92" t="s">
        <v>1061</v>
      </c>
      <c r="AP200" s="82"/>
      <c r="AQ200" s="87" t="s">
        <v>59</v>
      </c>
      <c r="AR200" s="87" t="s">
        <v>80</v>
      </c>
      <c r="AS200" s="82"/>
      <c r="AT200" s="87">
        <v>7</v>
      </c>
      <c r="AU200" s="87">
        <v>1</v>
      </c>
      <c r="AV200" s="87">
        <f t="shared" si="5"/>
        <v>8</v>
      </c>
      <c r="AW200" s="87" t="str">
        <f t="shared" si="23"/>
        <v>No Aplica</v>
      </c>
      <c r="AX200" s="87" t="s">
        <v>78</v>
      </c>
      <c r="AY200" s="87"/>
      <c r="AZ200" s="87"/>
      <c r="BA200" s="91" t="s">
        <v>1062</v>
      </c>
      <c r="BB200" s="84"/>
      <c r="BC200" s="85"/>
      <c r="BD200" s="85"/>
    </row>
    <row r="201" spans="1:56" s="86" customFormat="1" ht="46.5" customHeight="1">
      <c r="A201" s="87">
        <v>196</v>
      </c>
      <c r="B201" s="79" t="s">
        <v>1063</v>
      </c>
      <c r="C201" s="88">
        <v>45381</v>
      </c>
      <c r="D201" s="89">
        <v>0.375</v>
      </c>
      <c r="E201" s="87" t="s">
        <v>93</v>
      </c>
      <c r="F201" s="87" t="s">
        <v>102</v>
      </c>
      <c r="G201" s="87" t="s">
        <v>95</v>
      </c>
      <c r="H201" s="90" t="s">
        <v>1064</v>
      </c>
      <c r="I201" s="90" t="s">
        <v>118</v>
      </c>
      <c r="J201" s="87" t="s">
        <v>119</v>
      </c>
      <c r="K201" s="87" t="s">
        <v>129</v>
      </c>
      <c r="L201" s="90" t="s">
        <v>407</v>
      </c>
      <c r="M201" s="91">
        <v>3188799909</v>
      </c>
      <c r="N201" s="90" t="s">
        <v>1065</v>
      </c>
      <c r="O201" s="90" t="str">
        <f t="shared" si="24"/>
        <v>Distrital</v>
      </c>
      <c r="P201" s="87" t="s">
        <v>73</v>
      </c>
      <c r="Q201" s="87"/>
      <c r="R201" s="87"/>
      <c r="S201" s="87"/>
      <c r="T201" s="87"/>
      <c r="U201" s="87"/>
      <c r="V201" s="90" t="str">
        <f t="shared" si="25"/>
        <v>Distrital</v>
      </c>
      <c r="W201" s="87" t="s">
        <v>73</v>
      </c>
      <c r="X201" s="87"/>
      <c r="Y201" s="87"/>
      <c r="Z201" s="87"/>
      <c r="AA201" s="87"/>
      <c r="AB201" s="87"/>
      <c r="AC201" s="90" t="str">
        <f t="shared" si="26"/>
        <v>Distrital</v>
      </c>
      <c r="AD201" s="87" t="s">
        <v>73</v>
      </c>
      <c r="AE201" s="87"/>
      <c r="AF201" s="87"/>
      <c r="AG201" s="87"/>
      <c r="AH201" s="87"/>
      <c r="AI201" s="87"/>
      <c r="AJ201" s="87"/>
      <c r="AK201" s="87"/>
      <c r="AL201" s="87"/>
      <c r="AM201" s="87"/>
      <c r="AN201" s="90" t="s">
        <v>160</v>
      </c>
      <c r="AO201" s="92" t="s">
        <v>1066</v>
      </c>
      <c r="AP201" s="82"/>
      <c r="AQ201" s="87" t="s">
        <v>60</v>
      </c>
      <c r="AR201" s="87" t="s">
        <v>77</v>
      </c>
      <c r="AS201" s="82"/>
      <c r="AT201" s="87">
        <v>24</v>
      </c>
      <c r="AU201" s="87">
        <v>1</v>
      </c>
      <c r="AV201" s="87">
        <f t="shared" si="5"/>
        <v>25</v>
      </c>
      <c r="AW201" s="87" t="str">
        <f t="shared" si="23"/>
        <v>No Aplica</v>
      </c>
      <c r="AX201" s="87" t="s">
        <v>78</v>
      </c>
      <c r="AY201" s="87"/>
      <c r="AZ201" s="87"/>
      <c r="BA201" s="91" t="s">
        <v>1067</v>
      </c>
      <c r="BB201" s="84"/>
      <c r="BC201" s="85"/>
      <c r="BD201" s="85"/>
    </row>
    <row r="202" spans="1:56" s="86" customFormat="1" ht="46.5" customHeight="1">
      <c r="A202" s="78">
        <v>197</v>
      </c>
      <c r="B202" s="79" t="s">
        <v>1068</v>
      </c>
      <c r="C202" s="88">
        <v>45381</v>
      </c>
      <c r="D202" s="89">
        <v>0.58333333333333337</v>
      </c>
      <c r="E202" s="87" t="s">
        <v>93</v>
      </c>
      <c r="F202" s="87" t="s">
        <v>102</v>
      </c>
      <c r="G202" s="87" t="s">
        <v>95</v>
      </c>
      <c r="H202" s="90" t="s">
        <v>1012</v>
      </c>
      <c r="I202" s="90" t="s">
        <v>118</v>
      </c>
      <c r="J202" s="87" t="s">
        <v>119</v>
      </c>
      <c r="K202" s="87" t="s">
        <v>129</v>
      </c>
      <c r="L202" s="90" t="s">
        <v>407</v>
      </c>
      <c r="M202" s="91">
        <v>3188799909</v>
      </c>
      <c r="N202" s="90" t="s">
        <v>1065</v>
      </c>
      <c r="O202" s="90" t="str">
        <f t="shared" si="24"/>
        <v>Distrital</v>
      </c>
      <c r="P202" s="87" t="s">
        <v>73</v>
      </c>
      <c r="Q202" s="87"/>
      <c r="R202" s="87"/>
      <c r="S202" s="87"/>
      <c r="T202" s="87"/>
      <c r="U202" s="87"/>
      <c r="V202" s="90" t="str">
        <f t="shared" si="25"/>
        <v>Distrital</v>
      </c>
      <c r="W202" s="87" t="s">
        <v>73</v>
      </c>
      <c r="X202" s="87"/>
      <c r="Y202" s="87"/>
      <c r="Z202" s="87"/>
      <c r="AA202" s="87"/>
      <c r="AB202" s="87"/>
      <c r="AC202" s="90" t="str">
        <f t="shared" si="26"/>
        <v>Distrital</v>
      </c>
      <c r="AD202" s="87" t="s">
        <v>73</v>
      </c>
      <c r="AE202" s="87"/>
      <c r="AF202" s="87"/>
      <c r="AG202" s="87"/>
      <c r="AH202" s="87"/>
      <c r="AI202" s="87"/>
      <c r="AJ202" s="87"/>
      <c r="AK202" s="87"/>
      <c r="AL202" s="87"/>
      <c r="AM202" s="87"/>
      <c r="AN202" s="90" t="s">
        <v>160</v>
      </c>
      <c r="AO202" s="92" t="s">
        <v>1069</v>
      </c>
      <c r="AP202" s="82"/>
      <c r="AQ202" s="87" t="s">
        <v>60</v>
      </c>
      <c r="AR202" s="87" t="s">
        <v>77</v>
      </c>
      <c r="AS202" s="82"/>
      <c r="AT202" s="87">
        <v>66</v>
      </c>
      <c r="AU202" s="87">
        <v>3</v>
      </c>
      <c r="AV202" s="87">
        <f t="shared" si="5"/>
        <v>69</v>
      </c>
      <c r="AW202" s="87" t="str">
        <f t="shared" si="23"/>
        <v>No Aplica</v>
      </c>
      <c r="AX202" s="87" t="s">
        <v>78</v>
      </c>
      <c r="AY202" s="87"/>
      <c r="AZ202" s="87"/>
      <c r="BA202" s="91" t="s">
        <v>1028</v>
      </c>
      <c r="BB202" s="84"/>
      <c r="BC202" s="85"/>
      <c r="BD202" s="85"/>
    </row>
    <row r="203" spans="1:56" s="86" customFormat="1" ht="46.5" customHeight="1">
      <c r="A203" s="87">
        <v>198</v>
      </c>
      <c r="B203" s="79" t="s">
        <v>720</v>
      </c>
      <c r="C203" s="88">
        <v>45383</v>
      </c>
      <c r="D203" s="89">
        <v>0.375</v>
      </c>
      <c r="E203" s="87" t="s">
        <v>58</v>
      </c>
      <c r="F203" s="87" t="s">
        <v>61</v>
      </c>
      <c r="G203" s="87" t="s">
        <v>62</v>
      </c>
      <c r="H203" s="90" t="s">
        <v>721</v>
      </c>
      <c r="I203" s="90" t="s">
        <v>64</v>
      </c>
      <c r="J203" s="87" t="s">
        <v>119</v>
      </c>
      <c r="K203" s="87" t="s">
        <v>209</v>
      </c>
      <c r="L203" s="90" t="s">
        <v>1070</v>
      </c>
      <c r="M203" s="91">
        <v>3125641672</v>
      </c>
      <c r="N203" s="90" t="s">
        <v>1071</v>
      </c>
      <c r="O203" s="90" t="str">
        <f t="shared" si="24"/>
        <v>Distrital</v>
      </c>
      <c r="P203" s="87" t="s">
        <v>73</v>
      </c>
      <c r="Q203" s="87"/>
      <c r="R203" s="87"/>
      <c r="S203" s="87"/>
      <c r="T203" s="87"/>
      <c r="U203" s="87"/>
      <c r="V203" s="90" t="str">
        <f t="shared" si="25"/>
        <v>Distrital</v>
      </c>
      <c r="W203" s="87" t="s">
        <v>73</v>
      </c>
      <c r="X203" s="87"/>
      <c r="Y203" s="87"/>
      <c r="Z203" s="87"/>
      <c r="AA203" s="87"/>
      <c r="AB203" s="87"/>
      <c r="AC203" s="90" t="str">
        <f t="shared" si="26"/>
        <v>Distrital</v>
      </c>
      <c r="AD203" s="87" t="s">
        <v>73</v>
      </c>
      <c r="AE203" s="87"/>
      <c r="AF203" s="87"/>
      <c r="AG203" s="87"/>
      <c r="AH203" s="87"/>
      <c r="AI203" s="87"/>
      <c r="AJ203" s="87"/>
      <c r="AK203" s="87"/>
      <c r="AL203" s="87"/>
      <c r="AM203" s="87"/>
      <c r="AN203" s="90" t="s">
        <v>160</v>
      </c>
      <c r="AO203" s="90" t="s">
        <v>1072</v>
      </c>
      <c r="AP203" s="82"/>
      <c r="AQ203" s="87" t="s">
        <v>60</v>
      </c>
      <c r="AR203" s="87" t="s">
        <v>77</v>
      </c>
      <c r="AS203" s="82"/>
      <c r="AT203" s="87">
        <v>10</v>
      </c>
      <c r="AU203" s="87">
        <v>2</v>
      </c>
      <c r="AV203" s="87">
        <f t="shared" si="5"/>
        <v>12</v>
      </c>
      <c r="AW203" s="87" t="str">
        <f t="shared" si="23"/>
        <v>No Aplica</v>
      </c>
      <c r="AX203" s="87" t="s">
        <v>78</v>
      </c>
      <c r="AY203" s="87"/>
      <c r="AZ203" s="87"/>
      <c r="BA203" s="91" t="s">
        <v>1073</v>
      </c>
      <c r="BB203" s="84"/>
      <c r="BC203" s="85"/>
      <c r="BD203" s="85"/>
    </row>
    <row r="204" spans="1:56" s="86" customFormat="1" ht="46.5" customHeight="1">
      <c r="A204" s="78">
        <v>199</v>
      </c>
      <c r="B204" s="79" t="s">
        <v>1074</v>
      </c>
      <c r="C204" s="88">
        <v>45383</v>
      </c>
      <c r="D204" s="89">
        <v>0.64583333333333337</v>
      </c>
      <c r="E204" s="87" t="s">
        <v>58</v>
      </c>
      <c r="F204" s="87" t="s">
        <v>61</v>
      </c>
      <c r="G204" s="87" t="s">
        <v>62</v>
      </c>
      <c r="H204" s="90" t="s">
        <v>392</v>
      </c>
      <c r="I204" s="90" t="s">
        <v>172</v>
      </c>
      <c r="J204" s="87" t="s">
        <v>173</v>
      </c>
      <c r="K204" s="87"/>
      <c r="L204" s="90" t="s">
        <v>72</v>
      </c>
      <c r="M204" s="91" t="s">
        <v>72</v>
      </c>
      <c r="N204" s="90" t="s">
        <v>1075</v>
      </c>
      <c r="O204" s="90" t="str">
        <f t="shared" si="24"/>
        <v>Suba</v>
      </c>
      <c r="P204" s="87" t="s">
        <v>394</v>
      </c>
      <c r="Q204" s="87"/>
      <c r="R204" s="87"/>
      <c r="S204" s="87"/>
      <c r="T204" s="87"/>
      <c r="U204" s="87"/>
      <c r="V204" s="90" t="str">
        <f t="shared" si="25"/>
        <v>Norte</v>
      </c>
      <c r="W204" s="87" t="s">
        <v>429</v>
      </c>
      <c r="X204" s="87"/>
      <c r="Y204" s="87"/>
      <c r="Z204" s="87"/>
      <c r="AA204" s="87"/>
      <c r="AB204" s="87"/>
      <c r="AC204" s="90" t="str">
        <f t="shared" si="26"/>
        <v>Torca</v>
      </c>
      <c r="AD204" s="87" t="s">
        <v>528</v>
      </c>
      <c r="AE204" s="87"/>
      <c r="AF204" s="87"/>
      <c r="AG204" s="87"/>
      <c r="AH204" s="87"/>
      <c r="AI204" s="87"/>
      <c r="AJ204" s="87"/>
      <c r="AK204" s="87"/>
      <c r="AL204" s="87"/>
      <c r="AM204" s="87"/>
      <c r="AN204" s="90" t="s">
        <v>528</v>
      </c>
      <c r="AO204" s="90" t="s">
        <v>1076</v>
      </c>
      <c r="AP204" s="82"/>
      <c r="AQ204" s="87" t="s">
        <v>60</v>
      </c>
      <c r="AR204" s="87" t="s">
        <v>398</v>
      </c>
      <c r="AS204" s="82"/>
      <c r="AT204" s="87">
        <v>73</v>
      </c>
      <c r="AU204" s="87">
        <v>16</v>
      </c>
      <c r="AV204" s="87">
        <f t="shared" si="5"/>
        <v>89</v>
      </c>
      <c r="AW204" s="87" t="str">
        <f t="shared" si="23"/>
        <v>Ninguna</v>
      </c>
      <c r="AX204" s="87" t="s">
        <v>75</v>
      </c>
      <c r="AY204" s="87"/>
      <c r="AZ204" s="87"/>
      <c r="BA204" s="91" t="s">
        <v>392</v>
      </c>
      <c r="BB204" s="84"/>
      <c r="BC204" s="85"/>
      <c r="BD204" s="85"/>
    </row>
    <row r="205" spans="1:56" s="86" customFormat="1" ht="46.5" customHeight="1">
      <c r="A205" s="87">
        <v>200</v>
      </c>
      <c r="B205" s="79" t="s">
        <v>1077</v>
      </c>
      <c r="C205" s="88">
        <v>45383</v>
      </c>
      <c r="D205" s="89">
        <v>0.58333333333333337</v>
      </c>
      <c r="E205" s="87" t="s">
        <v>58</v>
      </c>
      <c r="F205" s="87" t="s">
        <v>135</v>
      </c>
      <c r="G205" s="87" t="s">
        <v>95</v>
      </c>
      <c r="H205" s="90" t="s">
        <v>1078</v>
      </c>
      <c r="I205" s="90" t="s">
        <v>64</v>
      </c>
      <c r="J205" s="87" t="s">
        <v>70</v>
      </c>
      <c r="K205" s="87" t="s">
        <v>71</v>
      </c>
      <c r="L205" s="90" t="s">
        <v>72</v>
      </c>
      <c r="M205" s="91" t="s">
        <v>72</v>
      </c>
      <c r="N205" s="91" t="s">
        <v>72</v>
      </c>
      <c r="O205" s="90" t="str">
        <f t="shared" si="24"/>
        <v>Distrital</v>
      </c>
      <c r="P205" s="87" t="s">
        <v>73</v>
      </c>
      <c r="Q205" s="87"/>
      <c r="R205" s="87"/>
      <c r="S205" s="87"/>
      <c r="T205" s="87"/>
      <c r="U205" s="87"/>
      <c r="V205" s="90" t="str">
        <f t="shared" si="25"/>
        <v>Distrital</v>
      </c>
      <c r="W205" s="87" t="s">
        <v>73</v>
      </c>
      <c r="X205" s="87"/>
      <c r="Y205" s="87"/>
      <c r="Z205" s="87"/>
      <c r="AA205" s="87"/>
      <c r="AB205" s="87"/>
      <c r="AC205" s="90" t="str">
        <f t="shared" si="26"/>
        <v>Distrital</v>
      </c>
      <c r="AD205" s="87" t="s">
        <v>73</v>
      </c>
      <c r="AE205" s="87"/>
      <c r="AF205" s="87"/>
      <c r="AG205" s="87"/>
      <c r="AH205" s="87"/>
      <c r="AI205" s="87"/>
      <c r="AJ205" s="87"/>
      <c r="AK205" s="87"/>
      <c r="AL205" s="87"/>
      <c r="AM205" s="87"/>
      <c r="AN205" s="90" t="s">
        <v>160</v>
      </c>
      <c r="AO205" s="92" t="s">
        <v>1079</v>
      </c>
      <c r="AP205" s="82"/>
      <c r="AQ205" s="87" t="s">
        <v>59</v>
      </c>
      <c r="AR205" s="87" t="s">
        <v>80</v>
      </c>
      <c r="AS205" s="82"/>
      <c r="AT205" s="87">
        <v>2</v>
      </c>
      <c r="AU205" s="87">
        <v>4</v>
      </c>
      <c r="AV205" s="87">
        <f t="shared" si="5"/>
        <v>6</v>
      </c>
      <c r="AW205" s="87" t="str">
        <f t="shared" si="23"/>
        <v>No Aplica</v>
      </c>
      <c r="AX205" s="87" t="s">
        <v>78</v>
      </c>
      <c r="AY205" s="87"/>
      <c r="AZ205" s="87"/>
      <c r="BA205" s="91" t="s">
        <v>1080</v>
      </c>
      <c r="BB205" s="84"/>
      <c r="BC205" s="85"/>
      <c r="BD205" s="85"/>
    </row>
    <row r="206" spans="1:56" s="86" customFormat="1" ht="46.5" customHeight="1">
      <c r="A206" s="78">
        <v>201</v>
      </c>
      <c r="B206" s="79" t="s">
        <v>1081</v>
      </c>
      <c r="C206" s="88">
        <v>45383</v>
      </c>
      <c r="D206" s="89">
        <v>0.70833333333333337</v>
      </c>
      <c r="E206" s="87" t="s">
        <v>353</v>
      </c>
      <c r="F206" s="87" t="s">
        <v>61</v>
      </c>
      <c r="G206" s="87" t="s">
        <v>62</v>
      </c>
      <c r="H206" s="90" t="s">
        <v>1082</v>
      </c>
      <c r="I206" s="90" t="s">
        <v>172</v>
      </c>
      <c r="J206" s="87" t="s">
        <v>173</v>
      </c>
      <c r="K206" s="87"/>
      <c r="L206" s="90" t="s">
        <v>1083</v>
      </c>
      <c r="M206" s="91">
        <v>3108148740</v>
      </c>
      <c r="N206" s="90" t="s">
        <v>439</v>
      </c>
      <c r="O206" s="90" t="str">
        <f t="shared" si="24"/>
        <v>Distrital</v>
      </c>
      <c r="P206" s="87" t="s">
        <v>73</v>
      </c>
      <c r="Q206" s="87"/>
      <c r="R206" s="87"/>
      <c r="S206" s="87"/>
      <c r="T206" s="87"/>
      <c r="U206" s="87"/>
      <c r="V206" s="90" t="str">
        <f t="shared" si="25"/>
        <v>Distrital</v>
      </c>
      <c r="W206" s="87" t="s">
        <v>73</v>
      </c>
      <c r="X206" s="87"/>
      <c r="Y206" s="87"/>
      <c r="Z206" s="87"/>
      <c r="AA206" s="87"/>
      <c r="AB206" s="87"/>
      <c r="AC206" s="90" t="str">
        <f t="shared" si="26"/>
        <v>Distrital</v>
      </c>
      <c r="AD206" s="87" t="s">
        <v>73</v>
      </c>
      <c r="AE206" s="87"/>
      <c r="AF206" s="87"/>
      <c r="AG206" s="87"/>
      <c r="AH206" s="87"/>
      <c r="AI206" s="87"/>
      <c r="AJ206" s="87"/>
      <c r="AK206" s="87"/>
      <c r="AL206" s="87"/>
      <c r="AM206" s="87"/>
      <c r="AN206" s="90" t="s">
        <v>160</v>
      </c>
      <c r="AO206" s="90" t="s">
        <v>1084</v>
      </c>
      <c r="AP206" s="82"/>
      <c r="AQ206" s="87" t="s">
        <v>60</v>
      </c>
      <c r="AR206" s="87" t="s">
        <v>398</v>
      </c>
      <c r="AS206" s="82"/>
      <c r="AT206" s="87">
        <v>61</v>
      </c>
      <c r="AU206" s="87">
        <v>16</v>
      </c>
      <c r="AV206" s="87">
        <f t="shared" si="5"/>
        <v>77</v>
      </c>
      <c r="AW206" s="87" t="str">
        <f t="shared" si="23"/>
        <v>Lenguaje de señas</v>
      </c>
      <c r="AX206" s="87" t="s">
        <v>211</v>
      </c>
      <c r="AY206" s="87"/>
      <c r="AZ206" s="87"/>
      <c r="BA206" s="91" t="s">
        <v>1085</v>
      </c>
      <c r="BB206" s="84"/>
      <c r="BC206" s="85"/>
      <c r="BD206" s="85"/>
    </row>
    <row r="207" spans="1:56" s="86" customFormat="1" ht="46.5" customHeight="1">
      <c r="A207" s="87">
        <v>202</v>
      </c>
      <c r="B207" s="79" t="s">
        <v>1086</v>
      </c>
      <c r="C207" s="88">
        <v>45384</v>
      </c>
      <c r="D207" s="89">
        <v>0.33333333333333331</v>
      </c>
      <c r="E207" s="87" t="s">
        <v>93</v>
      </c>
      <c r="F207" s="87" t="s">
        <v>321</v>
      </c>
      <c r="G207" s="87" t="s">
        <v>62</v>
      </c>
      <c r="H207" s="90" t="s">
        <v>1087</v>
      </c>
      <c r="I207" s="90" t="s">
        <v>64</v>
      </c>
      <c r="J207" s="87" t="s">
        <v>70</v>
      </c>
      <c r="K207" s="87" t="s">
        <v>324</v>
      </c>
      <c r="L207" s="90" t="s">
        <v>1088</v>
      </c>
      <c r="M207" s="91" t="s">
        <v>1089</v>
      </c>
      <c r="N207" s="90" t="s">
        <v>1090</v>
      </c>
      <c r="O207" s="90" t="str">
        <f t="shared" si="24"/>
        <v>Santa Fe</v>
      </c>
      <c r="P207" s="87" t="s">
        <v>541</v>
      </c>
      <c r="Q207" s="87"/>
      <c r="R207" s="87"/>
      <c r="S207" s="87"/>
      <c r="T207" s="87"/>
      <c r="U207" s="87"/>
      <c r="V207" s="90" t="str">
        <f t="shared" si="25"/>
        <v>Centro Ampliado</v>
      </c>
      <c r="W207" s="87" t="s">
        <v>415</v>
      </c>
      <c r="X207" s="87"/>
      <c r="Y207" s="87"/>
      <c r="Z207" s="87"/>
      <c r="AA207" s="87"/>
      <c r="AB207" s="87"/>
      <c r="AC207" s="90" t="str">
        <f t="shared" si="26"/>
        <v>Centro Histórico, Cerros Orientales</v>
      </c>
      <c r="AD207" s="87" t="s">
        <v>488</v>
      </c>
      <c r="AE207" s="87" t="s">
        <v>222</v>
      </c>
      <c r="AF207" s="87"/>
      <c r="AG207" s="87"/>
      <c r="AH207" s="87"/>
      <c r="AI207" s="87"/>
      <c r="AJ207" s="87"/>
      <c r="AK207" s="87"/>
      <c r="AL207" s="87"/>
      <c r="AM207" s="87"/>
      <c r="AN207" s="90" t="s">
        <v>160</v>
      </c>
      <c r="AO207" s="90" t="s">
        <v>1091</v>
      </c>
      <c r="AP207" s="82"/>
      <c r="AQ207" s="87" t="s">
        <v>59</v>
      </c>
      <c r="AR207" s="87" t="s">
        <v>80</v>
      </c>
      <c r="AS207" s="82"/>
      <c r="AT207" s="87">
        <v>12</v>
      </c>
      <c r="AU207" s="87">
        <v>1</v>
      </c>
      <c r="AV207" s="87">
        <f t="shared" si="5"/>
        <v>13</v>
      </c>
      <c r="AW207" s="87" t="str">
        <f t="shared" si="23"/>
        <v>No Aplica</v>
      </c>
      <c r="AX207" s="87" t="s">
        <v>78</v>
      </c>
      <c r="AY207" s="87"/>
      <c r="AZ207" s="87"/>
      <c r="BA207" s="91" t="s">
        <v>1092</v>
      </c>
      <c r="BB207" s="84"/>
      <c r="BC207" s="85"/>
      <c r="BD207" s="85"/>
    </row>
    <row r="208" spans="1:56" s="86" customFormat="1" ht="46.5" customHeight="1">
      <c r="A208" s="78">
        <v>203</v>
      </c>
      <c r="B208" s="79" t="s">
        <v>1093</v>
      </c>
      <c r="C208" s="88">
        <v>45384</v>
      </c>
      <c r="D208" s="89">
        <v>0.375</v>
      </c>
      <c r="E208" s="87" t="s">
        <v>58</v>
      </c>
      <c r="F208" s="87" t="s">
        <v>61</v>
      </c>
      <c r="G208" s="87" t="s">
        <v>62</v>
      </c>
      <c r="H208" s="90" t="s">
        <v>392</v>
      </c>
      <c r="I208" s="90" t="s">
        <v>193</v>
      </c>
      <c r="J208" s="87" t="s">
        <v>173</v>
      </c>
      <c r="K208" s="87"/>
      <c r="L208" s="90" t="s">
        <v>72</v>
      </c>
      <c r="M208" s="91" t="s">
        <v>72</v>
      </c>
      <c r="N208" s="90" t="s">
        <v>72</v>
      </c>
      <c r="O208" s="90" t="str">
        <f t="shared" si="24"/>
        <v>Kennedy</v>
      </c>
      <c r="P208" s="87" t="s">
        <v>473</v>
      </c>
      <c r="Q208" s="87"/>
      <c r="R208" s="87"/>
      <c r="S208" s="87"/>
      <c r="T208" s="87"/>
      <c r="U208" s="87"/>
      <c r="V208" s="90" t="str">
        <f t="shared" si="25"/>
        <v>Suroccidente</v>
      </c>
      <c r="W208" s="87" t="s">
        <v>474</v>
      </c>
      <c r="X208" s="87"/>
      <c r="Y208" s="87"/>
      <c r="Z208" s="87"/>
      <c r="AA208" s="87"/>
      <c r="AB208" s="87"/>
      <c r="AC208" s="90" t="str">
        <f t="shared" si="26"/>
        <v>Kennedy</v>
      </c>
      <c r="AD208" s="87" t="s">
        <v>473</v>
      </c>
      <c r="AE208" s="87"/>
      <c r="AF208" s="87"/>
      <c r="AG208" s="87"/>
      <c r="AH208" s="87"/>
      <c r="AI208" s="87"/>
      <c r="AJ208" s="87"/>
      <c r="AK208" s="87"/>
      <c r="AL208" s="87"/>
      <c r="AM208" s="87"/>
      <c r="AN208" s="90" t="s">
        <v>473</v>
      </c>
      <c r="AO208" s="90" t="s">
        <v>1094</v>
      </c>
      <c r="AP208" s="82"/>
      <c r="AQ208" s="87" t="s">
        <v>60</v>
      </c>
      <c r="AR208" s="87" t="s">
        <v>398</v>
      </c>
      <c r="AS208" s="82"/>
      <c r="AT208" s="87">
        <v>114</v>
      </c>
      <c r="AU208" s="87">
        <v>17</v>
      </c>
      <c r="AV208" s="87">
        <f t="shared" si="5"/>
        <v>131</v>
      </c>
      <c r="AW208" s="87" t="str">
        <f t="shared" si="23"/>
        <v>No Aplica</v>
      </c>
      <c r="AX208" s="87" t="s">
        <v>78</v>
      </c>
      <c r="AY208" s="87"/>
      <c r="AZ208" s="87"/>
      <c r="BA208" s="91" t="s">
        <v>1095</v>
      </c>
      <c r="BB208" s="84"/>
      <c r="BC208" s="85"/>
      <c r="BD208" s="85"/>
    </row>
    <row r="209" spans="1:56" s="86" customFormat="1" ht="46.5" customHeight="1">
      <c r="A209" s="87">
        <v>204</v>
      </c>
      <c r="B209" s="79" t="s">
        <v>1096</v>
      </c>
      <c r="C209" s="88">
        <v>45384</v>
      </c>
      <c r="D209" s="89">
        <v>0.58333333333333337</v>
      </c>
      <c r="E209" s="87" t="s">
        <v>93</v>
      </c>
      <c r="F209" s="87" t="s">
        <v>321</v>
      </c>
      <c r="G209" s="87" t="s">
        <v>62</v>
      </c>
      <c r="H209" s="90" t="s">
        <v>1097</v>
      </c>
      <c r="I209" s="90" t="s">
        <v>64</v>
      </c>
      <c r="J209" s="87" t="s">
        <v>70</v>
      </c>
      <c r="K209" s="87" t="s">
        <v>324</v>
      </c>
      <c r="L209" s="90" t="s">
        <v>1098</v>
      </c>
      <c r="M209" s="91">
        <v>3188356139</v>
      </c>
      <c r="N209" s="90" t="s">
        <v>1099</v>
      </c>
      <c r="O209" s="90" t="str">
        <f t="shared" si="24"/>
        <v>Fontibón</v>
      </c>
      <c r="P209" s="87" t="s">
        <v>420</v>
      </c>
      <c r="Q209" s="87"/>
      <c r="R209" s="87"/>
      <c r="S209" s="87"/>
      <c r="T209" s="87"/>
      <c r="U209" s="87"/>
      <c r="V209" s="90" t="str">
        <f t="shared" si="25"/>
        <v>Occidente</v>
      </c>
      <c r="W209" s="87" t="s">
        <v>124</v>
      </c>
      <c r="X209" s="87"/>
      <c r="Y209" s="87"/>
      <c r="Z209" s="87"/>
      <c r="AA209" s="87"/>
      <c r="AB209" s="87"/>
      <c r="AC209" s="90" t="str">
        <f t="shared" si="26"/>
        <v>Fontibón, Salitre</v>
      </c>
      <c r="AD209" s="87" t="s">
        <v>420</v>
      </c>
      <c r="AE209" s="87" t="s">
        <v>258</v>
      </c>
      <c r="AF209" s="87"/>
      <c r="AG209" s="87"/>
      <c r="AH209" s="87"/>
      <c r="AI209" s="87"/>
      <c r="AJ209" s="87"/>
      <c r="AK209" s="87"/>
      <c r="AL209" s="87"/>
      <c r="AM209" s="87"/>
      <c r="AN209" s="90" t="s">
        <v>1100</v>
      </c>
      <c r="AO209" s="90" t="s">
        <v>1101</v>
      </c>
      <c r="AP209" s="82"/>
      <c r="AQ209" s="87" t="s">
        <v>59</v>
      </c>
      <c r="AR209" s="87" t="s">
        <v>80</v>
      </c>
      <c r="AS209" s="82"/>
      <c r="AT209" s="87">
        <v>20</v>
      </c>
      <c r="AU209" s="87">
        <v>1</v>
      </c>
      <c r="AV209" s="87">
        <f t="shared" si="5"/>
        <v>21</v>
      </c>
      <c r="AW209" s="87" t="str">
        <f t="shared" si="23"/>
        <v>No Aplica</v>
      </c>
      <c r="AX209" s="87" t="s">
        <v>78</v>
      </c>
      <c r="AY209" s="87"/>
      <c r="AZ209" s="87"/>
      <c r="BA209" s="91" t="s">
        <v>1102</v>
      </c>
      <c r="BB209" s="84"/>
      <c r="BC209" s="85"/>
      <c r="BD209" s="85"/>
    </row>
    <row r="210" spans="1:56" s="86" customFormat="1" ht="46.5" customHeight="1">
      <c r="A210" s="78">
        <v>205</v>
      </c>
      <c r="B210" s="79" t="s">
        <v>1103</v>
      </c>
      <c r="C210" s="88">
        <v>45384</v>
      </c>
      <c r="D210" s="89">
        <v>0.66666666666666663</v>
      </c>
      <c r="E210" s="87" t="s">
        <v>58</v>
      </c>
      <c r="F210" s="87" t="s">
        <v>61</v>
      </c>
      <c r="G210" s="87" t="s">
        <v>95</v>
      </c>
      <c r="H210" s="90" t="s">
        <v>1104</v>
      </c>
      <c r="I210" s="90" t="s">
        <v>64</v>
      </c>
      <c r="J210" s="87" t="s">
        <v>70</v>
      </c>
      <c r="K210" s="87"/>
      <c r="L210" s="90" t="s">
        <v>593</v>
      </c>
      <c r="M210" s="91">
        <v>3159261429</v>
      </c>
      <c r="N210" s="90" t="s">
        <v>594</v>
      </c>
      <c r="O210" s="90" t="str">
        <f t="shared" si="24"/>
        <v>Distrital</v>
      </c>
      <c r="P210" s="87" t="s">
        <v>73</v>
      </c>
      <c r="Q210" s="87"/>
      <c r="R210" s="87"/>
      <c r="S210" s="87"/>
      <c r="T210" s="87"/>
      <c r="U210" s="87"/>
      <c r="V210" s="90" t="str">
        <f t="shared" si="25"/>
        <v>Distrital</v>
      </c>
      <c r="W210" s="87" t="s">
        <v>73</v>
      </c>
      <c r="X210" s="87"/>
      <c r="Y210" s="87"/>
      <c r="Z210" s="87"/>
      <c r="AA210" s="87"/>
      <c r="AB210" s="87"/>
      <c r="AC210" s="90" t="str">
        <f t="shared" si="26"/>
        <v>Distrital</v>
      </c>
      <c r="AD210" s="87" t="s">
        <v>73</v>
      </c>
      <c r="AE210" s="87"/>
      <c r="AF210" s="87"/>
      <c r="AG210" s="87"/>
      <c r="AH210" s="87"/>
      <c r="AI210" s="87"/>
      <c r="AJ210" s="87"/>
      <c r="AK210" s="87"/>
      <c r="AL210" s="87"/>
      <c r="AM210" s="87"/>
      <c r="AN210" s="90" t="s">
        <v>160</v>
      </c>
      <c r="AO210" s="92" t="s">
        <v>1105</v>
      </c>
      <c r="AP210" s="82"/>
      <c r="AQ210" s="87" t="s">
        <v>60</v>
      </c>
      <c r="AR210" s="87" t="s">
        <v>77</v>
      </c>
      <c r="AS210" s="82"/>
      <c r="AT210" s="87">
        <v>3</v>
      </c>
      <c r="AU210" s="87">
        <v>2</v>
      </c>
      <c r="AV210" s="87">
        <f t="shared" si="5"/>
        <v>5</v>
      </c>
      <c r="AW210" s="87" t="str">
        <f t="shared" si="23"/>
        <v>No Aplica</v>
      </c>
      <c r="AX210" s="87" t="s">
        <v>78</v>
      </c>
      <c r="AY210" s="87"/>
      <c r="AZ210" s="87"/>
      <c r="BA210" s="91" t="s">
        <v>1106</v>
      </c>
      <c r="BB210" s="84"/>
      <c r="BC210" s="85"/>
      <c r="BD210" s="85"/>
    </row>
    <row r="211" spans="1:56" s="86" customFormat="1" ht="46.5" customHeight="1">
      <c r="A211" s="87">
        <v>206</v>
      </c>
      <c r="B211" s="79" t="s">
        <v>1107</v>
      </c>
      <c r="C211" s="88">
        <v>45384</v>
      </c>
      <c r="D211" s="89">
        <v>0.79166666666666663</v>
      </c>
      <c r="E211" s="87" t="s">
        <v>353</v>
      </c>
      <c r="F211" s="87" t="s">
        <v>61</v>
      </c>
      <c r="G211" s="87" t="s">
        <v>62</v>
      </c>
      <c r="H211" s="90" t="s">
        <v>1108</v>
      </c>
      <c r="I211" s="90" t="s">
        <v>172</v>
      </c>
      <c r="J211" s="87" t="s">
        <v>173</v>
      </c>
      <c r="K211" s="87"/>
      <c r="L211" s="90" t="s">
        <v>72</v>
      </c>
      <c r="M211" s="91" t="s">
        <v>72</v>
      </c>
      <c r="N211" s="90" t="s">
        <v>72</v>
      </c>
      <c r="O211" s="90" t="str">
        <f t="shared" si="24"/>
        <v>Teusaquillo</v>
      </c>
      <c r="P211" s="87" t="s">
        <v>665</v>
      </c>
      <c r="Q211" s="87"/>
      <c r="R211" s="87"/>
      <c r="S211" s="87"/>
      <c r="T211" s="87"/>
      <c r="U211" s="87"/>
      <c r="V211" s="90" t="str">
        <f t="shared" si="25"/>
        <v>Distrital, Centro Ampliado</v>
      </c>
      <c r="W211" s="87" t="s">
        <v>73</v>
      </c>
      <c r="X211" s="87" t="s">
        <v>415</v>
      </c>
      <c r="Y211" s="87"/>
      <c r="Z211" s="87"/>
      <c r="AA211" s="87"/>
      <c r="AB211" s="87"/>
      <c r="AC211" s="90" t="str">
        <f t="shared" si="26"/>
        <v>Teusaquillo</v>
      </c>
      <c r="AD211" s="87" t="s">
        <v>665</v>
      </c>
      <c r="AE211" s="87"/>
      <c r="AF211" s="87"/>
      <c r="AG211" s="87"/>
      <c r="AH211" s="87"/>
      <c r="AI211" s="87"/>
      <c r="AJ211" s="87"/>
      <c r="AK211" s="87"/>
      <c r="AL211" s="87"/>
      <c r="AM211" s="87"/>
      <c r="AN211" s="90" t="s">
        <v>1109</v>
      </c>
      <c r="AO211" s="90" t="s">
        <v>1110</v>
      </c>
      <c r="AP211" s="82"/>
      <c r="AQ211" s="87" t="s">
        <v>60</v>
      </c>
      <c r="AR211" s="87" t="s">
        <v>398</v>
      </c>
      <c r="AS211" s="82"/>
      <c r="AT211" s="87">
        <v>10</v>
      </c>
      <c r="AU211" s="87">
        <v>4</v>
      </c>
      <c r="AV211" s="87">
        <f t="shared" si="5"/>
        <v>14</v>
      </c>
      <c r="AW211" s="87" t="str">
        <f t="shared" si="23"/>
        <v>No Aplica</v>
      </c>
      <c r="AX211" s="87" t="s">
        <v>78</v>
      </c>
      <c r="AY211" s="87"/>
      <c r="AZ211" s="87"/>
      <c r="BA211" s="91" t="s">
        <v>1111</v>
      </c>
      <c r="BB211" s="84"/>
      <c r="BC211" s="85"/>
      <c r="BD211" s="85"/>
    </row>
    <row r="212" spans="1:56" s="86" customFormat="1" ht="46.5" customHeight="1">
      <c r="A212" s="78">
        <v>207</v>
      </c>
      <c r="B212" s="79" t="s">
        <v>271</v>
      </c>
      <c r="C212" s="88">
        <v>45385</v>
      </c>
      <c r="D212" s="89">
        <v>0.33333333333333331</v>
      </c>
      <c r="E212" s="87" t="s">
        <v>58</v>
      </c>
      <c r="F212" s="87" t="s">
        <v>61</v>
      </c>
      <c r="G212" s="87" t="s">
        <v>95</v>
      </c>
      <c r="H212" s="90" t="s">
        <v>652</v>
      </c>
      <c r="I212" s="90" t="s">
        <v>188</v>
      </c>
      <c r="J212" s="87" t="s">
        <v>70</v>
      </c>
      <c r="K212" s="87" t="s">
        <v>71</v>
      </c>
      <c r="L212" s="90" t="s">
        <v>72</v>
      </c>
      <c r="M212" s="91" t="s">
        <v>72</v>
      </c>
      <c r="N212" s="90" t="s">
        <v>72</v>
      </c>
      <c r="O212" s="90" t="str">
        <f t="shared" si="24"/>
        <v>Distrital</v>
      </c>
      <c r="P212" s="87" t="s">
        <v>73</v>
      </c>
      <c r="Q212" s="87"/>
      <c r="R212" s="87"/>
      <c r="S212" s="87"/>
      <c r="T212" s="87"/>
      <c r="U212" s="87"/>
      <c r="V212" s="90" t="str">
        <f t="shared" si="25"/>
        <v>Distrital</v>
      </c>
      <c r="W212" s="87" t="s">
        <v>73</v>
      </c>
      <c r="X212" s="87"/>
      <c r="Y212" s="87"/>
      <c r="Z212" s="87"/>
      <c r="AA212" s="87"/>
      <c r="AB212" s="87"/>
      <c r="AC212" s="90" t="str">
        <f t="shared" si="26"/>
        <v>Distrital</v>
      </c>
      <c r="AD212" s="87" t="s">
        <v>73</v>
      </c>
      <c r="AE212" s="87"/>
      <c r="AF212" s="87"/>
      <c r="AG212" s="87"/>
      <c r="AH212" s="87"/>
      <c r="AI212" s="87"/>
      <c r="AJ212" s="87"/>
      <c r="AK212" s="87"/>
      <c r="AL212" s="87"/>
      <c r="AM212" s="87"/>
      <c r="AN212" s="90" t="s">
        <v>160</v>
      </c>
      <c r="AO212" s="92" t="s">
        <v>1112</v>
      </c>
      <c r="AP212" s="82"/>
      <c r="AQ212" s="87" t="s">
        <v>60</v>
      </c>
      <c r="AR212" s="87" t="s">
        <v>77</v>
      </c>
      <c r="AS212" s="82"/>
      <c r="AT212" s="87">
        <v>19</v>
      </c>
      <c r="AU212" s="87">
        <v>13</v>
      </c>
      <c r="AV212" s="87">
        <f t="shared" si="5"/>
        <v>32</v>
      </c>
      <c r="AW212" s="87" t="str">
        <f t="shared" si="23"/>
        <v>Ninguna</v>
      </c>
      <c r="AX212" s="87" t="s">
        <v>75</v>
      </c>
      <c r="AY212" s="87"/>
      <c r="AZ212" s="87"/>
      <c r="BA212" s="91" t="s">
        <v>1113</v>
      </c>
      <c r="BB212" s="84"/>
      <c r="BC212" s="85"/>
      <c r="BD212" s="85"/>
    </row>
    <row r="213" spans="1:56" s="86" customFormat="1" ht="46.5" customHeight="1">
      <c r="A213" s="87">
        <v>208</v>
      </c>
      <c r="B213" s="79" t="s">
        <v>1114</v>
      </c>
      <c r="C213" s="88">
        <v>45385</v>
      </c>
      <c r="D213" s="89">
        <v>0.41666666666666669</v>
      </c>
      <c r="E213" s="87" t="s">
        <v>58</v>
      </c>
      <c r="F213" s="87" t="s">
        <v>61</v>
      </c>
      <c r="G213" s="87" t="s">
        <v>62</v>
      </c>
      <c r="H213" s="90" t="s">
        <v>1115</v>
      </c>
      <c r="I213" s="90" t="s">
        <v>172</v>
      </c>
      <c r="J213" s="87" t="s">
        <v>119</v>
      </c>
      <c r="K213" s="87" t="s">
        <v>209</v>
      </c>
      <c r="L213" s="90" t="s">
        <v>1070</v>
      </c>
      <c r="M213" s="91">
        <v>3125641672</v>
      </c>
      <c r="N213" s="90" t="s">
        <v>1071</v>
      </c>
      <c r="O213" s="90" t="str">
        <f t="shared" si="24"/>
        <v>Distrital</v>
      </c>
      <c r="P213" s="87" t="s">
        <v>73</v>
      </c>
      <c r="Q213" s="87"/>
      <c r="R213" s="87"/>
      <c r="S213" s="87"/>
      <c r="T213" s="87"/>
      <c r="U213" s="87"/>
      <c r="V213" s="90" t="str">
        <f t="shared" si="25"/>
        <v>Distrital</v>
      </c>
      <c r="W213" s="87" t="s">
        <v>73</v>
      </c>
      <c r="X213" s="87"/>
      <c r="Y213" s="87"/>
      <c r="Z213" s="87"/>
      <c r="AA213" s="87"/>
      <c r="AB213" s="87"/>
      <c r="AC213" s="90" t="str">
        <f t="shared" si="26"/>
        <v>Distrital</v>
      </c>
      <c r="AD213" s="87" t="s">
        <v>73</v>
      </c>
      <c r="AE213" s="87"/>
      <c r="AF213" s="87"/>
      <c r="AG213" s="87"/>
      <c r="AH213" s="87"/>
      <c r="AI213" s="87"/>
      <c r="AJ213" s="87"/>
      <c r="AK213" s="87"/>
      <c r="AL213" s="87"/>
      <c r="AM213" s="87"/>
      <c r="AN213" s="90" t="s">
        <v>160</v>
      </c>
      <c r="AO213" s="90" t="s">
        <v>1116</v>
      </c>
      <c r="AP213" s="82"/>
      <c r="AQ213" s="87" t="s">
        <v>60</v>
      </c>
      <c r="AR213" s="87" t="s">
        <v>398</v>
      </c>
      <c r="AS213" s="82"/>
      <c r="AT213" s="87">
        <v>22</v>
      </c>
      <c r="AU213" s="87">
        <v>2</v>
      </c>
      <c r="AV213" s="87">
        <f t="shared" si="5"/>
        <v>24</v>
      </c>
      <c r="AW213" s="87" t="str">
        <f t="shared" si="23"/>
        <v>No Aplica</v>
      </c>
      <c r="AX213" s="87" t="s">
        <v>78</v>
      </c>
      <c r="AY213" s="87"/>
      <c r="AZ213" s="87"/>
      <c r="BA213" s="91" t="s">
        <v>1117</v>
      </c>
      <c r="BB213" s="84"/>
      <c r="BC213" s="85"/>
      <c r="BD213" s="85"/>
    </row>
    <row r="214" spans="1:56" s="86" customFormat="1" ht="46.5" customHeight="1">
      <c r="A214" s="78">
        <v>209</v>
      </c>
      <c r="B214" s="79" t="s">
        <v>1118</v>
      </c>
      <c r="C214" s="88">
        <v>45385</v>
      </c>
      <c r="D214" s="89">
        <v>0.58333333333333337</v>
      </c>
      <c r="E214" s="87" t="s">
        <v>58</v>
      </c>
      <c r="F214" s="87" t="s">
        <v>61</v>
      </c>
      <c r="G214" s="87" t="s">
        <v>62</v>
      </c>
      <c r="H214" s="90" t="s">
        <v>1119</v>
      </c>
      <c r="I214" s="90" t="s">
        <v>172</v>
      </c>
      <c r="J214" s="87" t="s">
        <v>173</v>
      </c>
      <c r="K214" s="87"/>
      <c r="L214" s="90" t="s">
        <v>1120</v>
      </c>
      <c r="M214" s="90" t="s">
        <v>1121</v>
      </c>
      <c r="N214" s="90">
        <v>3046044496</v>
      </c>
      <c r="O214" s="90" t="str">
        <f t="shared" si="24"/>
        <v>Distrital</v>
      </c>
      <c r="P214" s="87" t="s">
        <v>73</v>
      </c>
      <c r="Q214" s="87"/>
      <c r="R214" s="87"/>
      <c r="S214" s="87"/>
      <c r="T214" s="87"/>
      <c r="U214" s="87"/>
      <c r="V214" s="90" t="str">
        <f t="shared" si="25"/>
        <v>Distrital</v>
      </c>
      <c r="W214" s="87" t="s">
        <v>73</v>
      </c>
      <c r="X214" s="87"/>
      <c r="Y214" s="87"/>
      <c r="Z214" s="87"/>
      <c r="AA214" s="87"/>
      <c r="AB214" s="87"/>
      <c r="AC214" s="90" t="str">
        <f t="shared" si="26"/>
        <v>Distrital</v>
      </c>
      <c r="AD214" s="87" t="s">
        <v>73</v>
      </c>
      <c r="AE214" s="87"/>
      <c r="AF214" s="87"/>
      <c r="AG214" s="87"/>
      <c r="AH214" s="87"/>
      <c r="AI214" s="87"/>
      <c r="AJ214" s="87"/>
      <c r="AK214" s="87"/>
      <c r="AL214" s="87"/>
      <c r="AM214" s="87"/>
      <c r="AN214" s="90" t="s">
        <v>160</v>
      </c>
      <c r="AO214" s="90" t="s">
        <v>647</v>
      </c>
      <c r="AP214" s="82"/>
      <c r="AQ214" s="87" t="s">
        <v>60</v>
      </c>
      <c r="AR214" s="87" t="s">
        <v>398</v>
      </c>
      <c r="AS214" s="82"/>
      <c r="AT214" s="87">
        <v>66</v>
      </c>
      <c r="AU214" s="87">
        <v>15</v>
      </c>
      <c r="AV214" s="87">
        <f t="shared" si="5"/>
        <v>81</v>
      </c>
      <c r="AW214" s="87" t="str">
        <f t="shared" si="23"/>
        <v>Ninguna</v>
      </c>
      <c r="AX214" s="87" t="s">
        <v>75</v>
      </c>
      <c r="AY214" s="87"/>
      <c r="AZ214" s="87"/>
      <c r="BA214" s="91" t="s">
        <v>1122</v>
      </c>
      <c r="BB214" s="84"/>
      <c r="BC214" s="85"/>
      <c r="BD214" s="85"/>
    </row>
    <row r="215" spans="1:56" s="86" customFormat="1" ht="46.5" customHeight="1">
      <c r="A215" s="87">
        <v>210</v>
      </c>
      <c r="B215" s="79" t="s">
        <v>463</v>
      </c>
      <c r="C215" s="88">
        <v>45385</v>
      </c>
      <c r="D215" s="89">
        <v>0.625</v>
      </c>
      <c r="E215" s="87" t="s">
        <v>93</v>
      </c>
      <c r="F215" s="87" t="s">
        <v>321</v>
      </c>
      <c r="G215" s="87" t="s">
        <v>62</v>
      </c>
      <c r="H215" s="90" t="s">
        <v>1123</v>
      </c>
      <c r="I215" s="90" t="s">
        <v>64</v>
      </c>
      <c r="J215" s="87" t="s">
        <v>70</v>
      </c>
      <c r="K215" s="87" t="s">
        <v>324</v>
      </c>
      <c r="L215" s="90" t="s">
        <v>1124</v>
      </c>
      <c r="M215" s="91">
        <v>3192043484</v>
      </c>
      <c r="N215" s="90" t="s">
        <v>1125</v>
      </c>
      <c r="O215" s="90" t="str">
        <f t="shared" si="24"/>
        <v>Rafael Uribe Uribe</v>
      </c>
      <c r="P215" s="87" t="s">
        <v>414</v>
      </c>
      <c r="Q215" s="87"/>
      <c r="R215" s="87"/>
      <c r="S215" s="87"/>
      <c r="T215" s="87"/>
      <c r="U215" s="87"/>
      <c r="V215" s="90" t="str">
        <f t="shared" si="25"/>
        <v>Suroriente</v>
      </c>
      <c r="W215" s="87" t="s">
        <v>108</v>
      </c>
      <c r="X215" s="87"/>
      <c r="Y215" s="87"/>
      <c r="Z215" s="87"/>
      <c r="AA215" s="87"/>
      <c r="AB215" s="87"/>
      <c r="AC215" s="90" t="str">
        <f t="shared" si="26"/>
        <v>Rafael Uribe, Restrepo, San Cristobal</v>
      </c>
      <c r="AD215" s="87" t="s">
        <v>467</v>
      </c>
      <c r="AE215" s="87" t="s">
        <v>416</v>
      </c>
      <c r="AF215" s="87" t="s">
        <v>371</v>
      </c>
      <c r="AG215" s="87"/>
      <c r="AH215" s="87"/>
      <c r="AI215" s="87"/>
      <c r="AJ215" s="87"/>
      <c r="AK215" s="87"/>
      <c r="AL215" s="87"/>
      <c r="AM215" s="87"/>
      <c r="AN215" s="90" t="s">
        <v>160</v>
      </c>
      <c r="AO215" s="90" t="s">
        <v>1126</v>
      </c>
      <c r="AP215" s="82"/>
      <c r="AQ215" s="87" t="s">
        <v>59</v>
      </c>
      <c r="AR215" s="87" t="s">
        <v>80</v>
      </c>
      <c r="AS215" s="82"/>
      <c r="AT215" s="87">
        <v>13</v>
      </c>
      <c r="AU215" s="87">
        <v>1</v>
      </c>
      <c r="AV215" s="87">
        <f t="shared" si="5"/>
        <v>14</v>
      </c>
      <c r="AW215" s="87" t="str">
        <f t="shared" si="23"/>
        <v>No Aplica</v>
      </c>
      <c r="AX215" s="87" t="s">
        <v>78</v>
      </c>
      <c r="AY215" s="87"/>
      <c r="AZ215" s="87"/>
      <c r="BA215" s="91" t="s">
        <v>1127</v>
      </c>
      <c r="BB215" s="84"/>
      <c r="BC215" s="85"/>
      <c r="BD215" s="85"/>
    </row>
    <row r="216" spans="1:56" s="86" customFormat="1" ht="46.5" customHeight="1">
      <c r="A216" s="78">
        <v>211</v>
      </c>
      <c r="B216" s="79" t="s">
        <v>1128</v>
      </c>
      <c r="C216" s="88">
        <v>45385</v>
      </c>
      <c r="D216" s="89">
        <v>0.64583333333333337</v>
      </c>
      <c r="E216" s="87" t="s">
        <v>58</v>
      </c>
      <c r="F216" s="87" t="s">
        <v>61</v>
      </c>
      <c r="G216" s="87" t="s">
        <v>95</v>
      </c>
      <c r="H216" s="90" t="s">
        <v>1129</v>
      </c>
      <c r="I216" s="90" t="s">
        <v>172</v>
      </c>
      <c r="J216" s="87" t="s">
        <v>119</v>
      </c>
      <c r="K216" s="87" t="s">
        <v>209</v>
      </c>
      <c r="L216" s="90" t="s">
        <v>1130</v>
      </c>
      <c r="M216" s="91" t="s">
        <v>72</v>
      </c>
      <c r="N216" s="90" t="s">
        <v>72</v>
      </c>
      <c r="O216" s="90" t="str">
        <f t="shared" si="24"/>
        <v>Distrital</v>
      </c>
      <c r="P216" s="87" t="s">
        <v>73</v>
      </c>
      <c r="Q216" s="87"/>
      <c r="R216" s="87"/>
      <c r="S216" s="87"/>
      <c r="T216" s="87"/>
      <c r="U216" s="87"/>
      <c r="V216" s="90" t="str">
        <f t="shared" si="25"/>
        <v>Distrital</v>
      </c>
      <c r="W216" s="87" t="s">
        <v>73</v>
      </c>
      <c r="X216" s="87"/>
      <c r="Y216" s="87"/>
      <c r="Z216" s="87"/>
      <c r="AA216" s="87"/>
      <c r="AB216" s="87"/>
      <c r="AC216" s="90" t="str">
        <f t="shared" si="26"/>
        <v>Distrital</v>
      </c>
      <c r="AD216" s="87" t="s">
        <v>73</v>
      </c>
      <c r="AE216" s="87"/>
      <c r="AF216" s="87"/>
      <c r="AG216" s="87"/>
      <c r="AH216" s="87"/>
      <c r="AI216" s="87"/>
      <c r="AJ216" s="87"/>
      <c r="AK216" s="87"/>
      <c r="AL216" s="87"/>
      <c r="AM216" s="87"/>
      <c r="AN216" s="90" t="s">
        <v>160</v>
      </c>
      <c r="AO216" s="92" t="s">
        <v>1131</v>
      </c>
      <c r="AP216" s="82"/>
      <c r="AQ216" s="87" t="s">
        <v>60</v>
      </c>
      <c r="AR216" s="87" t="s">
        <v>77</v>
      </c>
      <c r="AS216" s="82"/>
      <c r="AT216" s="87">
        <v>72</v>
      </c>
      <c r="AU216" s="87">
        <v>2</v>
      </c>
      <c r="AV216" s="87">
        <f t="shared" si="5"/>
        <v>74</v>
      </c>
      <c r="AW216" s="87" t="str">
        <f t="shared" si="23"/>
        <v>No Aplica</v>
      </c>
      <c r="AX216" s="87" t="s">
        <v>78</v>
      </c>
      <c r="AY216" s="87"/>
      <c r="AZ216" s="87"/>
      <c r="BA216" s="91" t="s">
        <v>1132</v>
      </c>
      <c r="BB216" s="84"/>
      <c r="BC216" s="85"/>
      <c r="BD216" s="85"/>
    </row>
    <row r="217" spans="1:56" s="86" customFormat="1" ht="46.5" customHeight="1">
      <c r="A217" s="87">
        <v>212</v>
      </c>
      <c r="B217" s="79" t="s">
        <v>853</v>
      </c>
      <c r="C217" s="88">
        <v>45385</v>
      </c>
      <c r="D217" s="89">
        <v>0.66666666666666663</v>
      </c>
      <c r="E217" s="87" t="s">
        <v>562</v>
      </c>
      <c r="F217" s="87" t="s">
        <v>61</v>
      </c>
      <c r="G217" s="87" t="s">
        <v>62</v>
      </c>
      <c r="H217" s="90" t="s">
        <v>1133</v>
      </c>
      <c r="I217" s="90" t="s">
        <v>64</v>
      </c>
      <c r="J217" s="87" t="s">
        <v>173</v>
      </c>
      <c r="K217" s="87"/>
      <c r="L217" s="90" t="s">
        <v>855</v>
      </c>
      <c r="M217" s="91" t="s">
        <v>856</v>
      </c>
      <c r="N217" s="90" t="s">
        <v>857</v>
      </c>
      <c r="O217" s="90" t="str">
        <f t="shared" si="24"/>
        <v>Kennedy</v>
      </c>
      <c r="P217" s="87" t="s">
        <v>473</v>
      </c>
      <c r="Q217" s="87"/>
      <c r="R217" s="87"/>
      <c r="S217" s="87"/>
      <c r="T217" s="87"/>
      <c r="U217" s="87"/>
      <c r="V217" s="90" t="str">
        <f t="shared" si="25"/>
        <v>Suroccidente</v>
      </c>
      <c r="W217" s="87" t="s">
        <v>474</v>
      </c>
      <c r="X217" s="87"/>
      <c r="Y217" s="87"/>
      <c r="Z217" s="87"/>
      <c r="AA217" s="87"/>
      <c r="AB217" s="87"/>
      <c r="AC217" s="90" t="str">
        <f t="shared" si="26"/>
        <v>Kennedy, Tintal, Bosa, Patio Bonito, Porvenir, Edén</v>
      </c>
      <c r="AD217" s="87" t="s">
        <v>473</v>
      </c>
      <c r="AE217" s="87" t="s">
        <v>1134</v>
      </c>
      <c r="AF217" s="87" t="s">
        <v>472</v>
      </c>
      <c r="AG217" s="87" t="s">
        <v>639</v>
      </c>
      <c r="AH217" s="87" t="s">
        <v>705</v>
      </c>
      <c r="AI217" s="87" t="s">
        <v>704</v>
      </c>
      <c r="AJ217" s="87"/>
      <c r="AK217" s="87"/>
      <c r="AL217" s="87"/>
      <c r="AM217" s="87"/>
      <c r="AN217" s="90" t="s">
        <v>1135</v>
      </c>
      <c r="AO217" s="90" t="s">
        <v>1136</v>
      </c>
      <c r="AP217" s="82"/>
      <c r="AQ217" s="87" t="s">
        <v>60</v>
      </c>
      <c r="AR217" s="87" t="s">
        <v>398</v>
      </c>
      <c r="AS217" s="82"/>
      <c r="AT217" s="87">
        <v>34</v>
      </c>
      <c r="AU217" s="87">
        <v>7</v>
      </c>
      <c r="AV217" s="87">
        <f t="shared" ref="AV217" si="27">AT217+AU217</f>
        <v>41</v>
      </c>
      <c r="AW217" s="87" t="str">
        <f t="shared" ref="AW217" si="28">_xlfn.TEXTJOIN(", ",TRUE,$AX217:$AZ217)</f>
        <v>Ninguna</v>
      </c>
      <c r="AX217" s="87" t="s">
        <v>75</v>
      </c>
      <c r="AY217" s="87"/>
      <c r="AZ217" s="87"/>
      <c r="BA217" s="91" t="s">
        <v>1137</v>
      </c>
      <c r="BB217" s="84"/>
      <c r="BC217" s="85"/>
      <c r="BD217" s="85"/>
    </row>
    <row r="218" spans="1:56" s="86" customFormat="1" ht="46.5" customHeight="1">
      <c r="A218" s="78">
        <v>213</v>
      </c>
      <c r="B218" s="79" t="s">
        <v>1138</v>
      </c>
      <c r="C218" s="88">
        <v>45385</v>
      </c>
      <c r="D218" s="89">
        <v>0.70833333333333337</v>
      </c>
      <c r="E218" s="87" t="s">
        <v>58</v>
      </c>
      <c r="F218" s="87" t="s">
        <v>61</v>
      </c>
      <c r="G218" s="87" t="s">
        <v>62</v>
      </c>
      <c r="H218" s="90" t="s">
        <v>392</v>
      </c>
      <c r="I218" s="90" t="s">
        <v>172</v>
      </c>
      <c r="J218" s="87" t="s">
        <v>173</v>
      </c>
      <c r="K218" s="87"/>
      <c r="L218" s="90" t="s">
        <v>72</v>
      </c>
      <c r="M218" s="90" t="s">
        <v>72</v>
      </c>
      <c r="N218" s="90" t="s">
        <v>72</v>
      </c>
      <c r="O218" s="90" t="str">
        <f t="shared" si="24"/>
        <v>Puente Aranda</v>
      </c>
      <c r="P218" s="87" t="s">
        <v>823</v>
      </c>
      <c r="Q218" s="87"/>
      <c r="R218" s="87"/>
      <c r="S218" s="87"/>
      <c r="T218" s="87"/>
      <c r="U218" s="87"/>
      <c r="V218" s="90" t="str">
        <f t="shared" si="25"/>
        <v>Centro Ampliado</v>
      </c>
      <c r="W218" s="87" t="s">
        <v>415</v>
      </c>
      <c r="X218" s="87"/>
      <c r="Y218" s="87"/>
      <c r="Z218" s="87"/>
      <c r="AA218" s="87"/>
      <c r="AB218" s="87"/>
      <c r="AC218" s="90" t="str">
        <f t="shared" si="26"/>
        <v>Puente Aranda</v>
      </c>
      <c r="AD218" s="87" t="s">
        <v>823</v>
      </c>
      <c r="AE218" s="87"/>
      <c r="AF218" s="87"/>
      <c r="AG218" s="87"/>
      <c r="AH218" s="87"/>
      <c r="AI218" s="87"/>
      <c r="AJ218" s="87"/>
      <c r="AK218" s="87"/>
      <c r="AL218" s="87"/>
      <c r="AM218" s="87"/>
      <c r="AN218" s="90" t="s">
        <v>160</v>
      </c>
      <c r="AO218" s="90" t="s">
        <v>1139</v>
      </c>
      <c r="AP218" s="82"/>
      <c r="AQ218" s="87" t="s">
        <v>60</v>
      </c>
      <c r="AR218" s="87" t="s">
        <v>398</v>
      </c>
      <c r="AS218" s="82"/>
      <c r="AT218" s="87">
        <v>50</v>
      </c>
      <c r="AU218" s="87">
        <v>14</v>
      </c>
      <c r="AV218" s="87">
        <f t="shared" si="5"/>
        <v>64</v>
      </c>
      <c r="AW218" s="87" t="str">
        <f t="shared" ref="AW218:AW236" si="29">_xlfn.TEXTJOIN(", ",TRUE,$AX218:$AZ218)</f>
        <v>Ninguna</v>
      </c>
      <c r="AX218" s="87" t="s">
        <v>75</v>
      </c>
      <c r="AY218" s="87"/>
      <c r="AZ218" s="87"/>
      <c r="BA218" s="91" t="s">
        <v>1140</v>
      </c>
      <c r="BB218" s="84"/>
      <c r="BC218" s="85"/>
      <c r="BD218" s="85"/>
    </row>
    <row r="219" spans="1:56" s="86" customFormat="1" ht="46.5" customHeight="1">
      <c r="A219" s="87">
        <v>214</v>
      </c>
      <c r="B219" s="79" t="s">
        <v>1141</v>
      </c>
      <c r="C219" s="88">
        <v>45386</v>
      </c>
      <c r="D219" s="89">
        <v>0.35416666666666669</v>
      </c>
      <c r="E219" s="87" t="s">
        <v>58</v>
      </c>
      <c r="F219" s="87" t="s">
        <v>1142</v>
      </c>
      <c r="G219" s="87" t="s">
        <v>62</v>
      </c>
      <c r="H219" s="90" t="s">
        <v>1143</v>
      </c>
      <c r="I219" s="90" t="s">
        <v>172</v>
      </c>
      <c r="J219" s="87" t="s">
        <v>119</v>
      </c>
      <c r="K219" s="87"/>
      <c r="L219" s="90" t="s">
        <v>1144</v>
      </c>
      <c r="M219" s="90">
        <v>3148396805</v>
      </c>
      <c r="N219" s="90" t="s">
        <v>1145</v>
      </c>
      <c r="O219" s="90" t="str">
        <f t="shared" si="24"/>
        <v>Distrital</v>
      </c>
      <c r="P219" s="87" t="s">
        <v>73</v>
      </c>
      <c r="Q219" s="87"/>
      <c r="R219" s="87"/>
      <c r="S219" s="87"/>
      <c r="T219" s="87"/>
      <c r="U219" s="87"/>
      <c r="V219" s="90" t="str">
        <f t="shared" si="25"/>
        <v>Distrital</v>
      </c>
      <c r="W219" s="87" t="s">
        <v>73</v>
      </c>
      <c r="X219" s="87"/>
      <c r="Y219" s="87"/>
      <c r="Z219" s="87"/>
      <c r="AA219" s="87"/>
      <c r="AB219" s="87"/>
      <c r="AC219" s="90" t="str">
        <f t="shared" si="26"/>
        <v>Distrital</v>
      </c>
      <c r="AD219" s="87" t="s">
        <v>73</v>
      </c>
      <c r="AE219" s="87"/>
      <c r="AF219" s="87"/>
      <c r="AG219" s="87"/>
      <c r="AH219" s="87"/>
      <c r="AI219" s="87"/>
      <c r="AJ219" s="87"/>
      <c r="AK219" s="87"/>
      <c r="AL219" s="87"/>
      <c r="AM219" s="87"/>
      <c r="AN219" s="90" t="s">
        <v>160</v>
      </c>
      <c r="AO219" s="90" t="s">
        <v>1146</v>
      </c>
      <c r="AP219" s="82"/>
      <c r="AQ219" s="87" t="s">
        <v>59</v>
      </c>
      <c r="AR219" s="87" t="s">
        <v>80</v>
      </c>
      <c r="AS219" s="82"/>
      <c r="AT219" s="87">
        <v>25</v>
      </c>
      <c r="AU219" s="87">
        <v>4</v>
      </c>
      <c r="AV219" s="87">
        <f t="shared" si="5"/>
        <v>29</v>
      </c>
      <c r="AW219" s="87" t="str">
        <f t="shared" si="29"/>
        <v>No Aplica</v>
      </c>
      <c r="AX219" s="87" t="s">
        <v>78</v>
      </c>
      <c r="AY219" s="87"/>
      <c r="AZ219" s="87"/>
      <c r="BA219" s="91" t="s">
        <v>1147</v>
      </c>
      <c r="BB219" s="84"/>
      <c r="BC219" s="85"/>
      <c r="BD219" s="85"/>
    </row>
    <row r="220" spans="1:56" s="86" customFormat="1" ht="46.5" customHeight="1">
      <c r="A220" s="78">
        <v>215</v>
      </c>
      <c r="B220" s="79" t="s">
        <v>1148</v>
      </c>
      <c r="C220" s="88">
        <v>45386</v>
      </c>
      <c r="D220" s="89">
        <v>0.58333333333333337</v>
      </c>
      <c r="E220" s="87" t="s">
        <v>58</v>
      </c>
      <c r="F220" s="87" t="s">
        <v>61</v>
      </c>
      <c r="G220" s="87" t="s">
        <v>62</v>
      </c>
      <c r="H220" s="90" t="s">
        <v>815</v>
      </c>
      <c r="I220" s="90" t="s">
        <v>172</v>
      </c>
      <c r="J220" s="87" t="s">
        <v>816</v>
      </c>
      <c r="K220" s="87"/>
      <c r="L220" s="90" t="s">
        <v>72</v>
      </c>
      <c r="M220" s="90" t="s">
        <v>72</v>
      </c>
      <c r="N220" s="90" t="s">
        <v>72</v>
      </c>
      <c r="O220" s="90" t="str">
        <f t="shared" si="24"/>
        <v>Distrital</v>
      </c>
      <c r="P220" s="87" t="s">
        <v>73</v>
      </c>
      <c r="Q220" s="87"/>
      <c r="R220" s="87"/>
      <c r="S220" s="87"/>
      <c r="T220" s="87"/>
      <c r="U220" s="87"/>
      <c r="V220" s="90" t="str">
        <f t="shared" si="25"/>
        <v>Distrital</v>
      </c>
      <c r="W220" s="87" t="s">
        <v>73</v>
      </c>
      <c r="X220" s="87"/>
      <c r="Y220" s="87"/>
      <c r="Z220" s="87"/>
      <c r="AA220" s="87"/>
      <c r="AB220" s="87"/>
      <c r="AC220" s="90" t="str">
        <f t="shared" si="26"/>
        <v>Distrital</v>
      </c>
      <c r="AD220" s="87" t="s">
        <v>73</v>
      </c>
      <c r="AE220" s="87"/>
      <c r="AF220" s="87"/>
      <c r="AG220" s="87"/>
      <c r="AH220" s="87"/>
      <c r="AI220" s="87"/>
      <c r="AJ220" s="87"/>
      <c r="AK220" s="87"/>
      <c r="AL220" s="87"/>
      <c r="AM220" s="87"/>
      <c r="AN220" s="90" t="s">
        <v>160</v>
      </c>
      <c r="AO220" s="90" t="s">
        <v>1149</v>
      </c>
      <c r="AP220" s="82"/>
      <c r="AQ220" s="87" t="s">
        <v>60</v>
      </c>
      <c r="AR220" s="87" t="s">
        <v>398</v>
      </c>
      <c r="AS220" s="82"/>
      <c r="AT220" s="87">
        <v>30</v>
      </c>
      <c r="AU220" s="87">
        <v>1</v>
      </c>
      <c r="AV220" s="87">
        <f t="shared" si="5"/>
        <v>31</v>
      </c>
      <c r="AW220" s="87" t="str">
        <f t="shared" si="29"/>
        <v>Contenidos adaptados</v>
      </c>
      <c r="AX220" s="87" t="s">
        <v>212</v>
      </c>
      <c r="AY220" s="87"/>
      <c r="AZ220" s="87"/>
      <c r="BA220" s="91" t="s">
        <v>1150</v>
      </c>
      <c r="BB220" s="84"/>
      <c r="BC220" s="85"/>
      <c r="BD220" s="85"/>
    </row>
    <row r="221" spans="1:56" s="86" customFormat="1" ht="46.5" customHeight="1">
      <c r="A221" s="87">
        <v>216</v>
      </c>
      <c r="B221" s="79" t="s">
        <v>1151</v>
      </c>
      <c r="C221" s="88">
        <v>45386</v>
      </c>
      <c r="D221" s="89">
        <v>0.375</v>
      </c>
      <c r="E221" s="87" t="s">
        <v>562</v>
      </c>
      <c r="F221" s="87" t="s">
        <v>833</v>
      </c>
      <c r="G221" s="87" t="s">
        <v>95</v>
      </c>
      <c r="H221" s="90" t="s">
        <v>1152</v>
      </c>
      <c r="I221" s="90" t="s">
        <v>188</v>
      </c>
      <c r="J221" s="87" t="s">
        <v>173</v>
      </c>
      <c r="K221" s="87"/>
      <c r="L221" s="90" t="s">
        <v>1153</v>
      </c>
      <c r="M221" s="90" t="s">
        <v>1154</v>
      </c>
      <c r="N221" s="90" t="s">
        <v>1155</v>
      </c>
      <c r="O221" s="90" t="str">
        <f t="shared" si="24"/>
        <v>Distrital</v>
      </c>
      <c r="P221" s="87" t="s">
        <v>73</v>
      </c>
      <c r="Q221" s="87"/>
      <c r="R221" s="87"/>
      <c r="S221" s="87"/>
      <c r="T221" s="87"/>
      <c r="U221" s="87"/>
      <c r="V221" s="90" t="str">
        <f t="shared" si="25"/>
        <v>Distrital</v>
      </c>
      <c r="W221" s="87" t="s">
        <v>73</v>
      </c>
      <c r="X221" s="87"/>
      <c r="Y221" s="87"/>
      <c r="Z221" s="87"/>
      <c r="AA221" s="87"/>
      <c r="AB221" s="87"/>
      <c r="AC221" s="90" t="str">
        <f t="shared" si="26"/>
        <v>Distrital</v>
      </c>
      <c r="AD221" s="87" t="s">
        <v>73</v>
      </c>
      <c r="AE221" s="87"/>
      <c r="AF221" s="87"/>
      <c r="AG221" s="87"/>
      <c r="AH221" s="87"/>
      <c r="AI221" s="87"/>
      <c r="AJ221" s="87"/>
      <c r="AK221" s="87"/>
      <c r="AL221" s="87"/>
      <c r="AM221" s="87"/>
      <c r="AN221" s="90" t="s">
        <v>160</v>
      </c>
      <c r="AO221" s="92" t="s">
        <v>1156</v>
      </c>
      <c r="AP221" s="82"/>
      <c r="AQ221" s="87" t="s">
        <v>59</v>
      </c>
      <c r="AR221" s="87" t="s">
        <v>80</v>
      </c>
      <c r="AS221" s="82"/>
      <c r="AT221" s="87">
        <v>140</v>
      </c>
      <c r="AU221" s="87">
        <v>2</v>
      </c>
      <c r="AV221" s="87">
        <f t="shared" si="5"/>
        <v>142</v>
      </c>
      <c r="AW221" s="87" t="str">
        <f t="shared" si="29"/>
        <v>No Aplica</v>
      </c>
      <c r="AX221" s="87" t="s">
        <v>78</v>
      </c>
      <c r="AY221" s="87"/>
      <c r="AZ221" s="87"/>
      <c r="BA221" s="91" t="s">
        <v>1157</v>
      </c>
      <c r="BB221" s="84"/>
      <c r="BC221" s="85"/>
      <c r="BD221" s="85"/>
    </row>
    <row r="222" spans="1:56" s="86" customFormat="1" ht="46.5" customHeight="1">
      <c r="A222" s="78">
        <v>217</v>
      </c>
      <c r="B222" s="79" t="s">
        <v>523</v>
      </c>
      <c r="C222" s="88">
        <v>45386</v>
      </c>
      <c r="D222" s="89">
        <v>0.375</v>
      </c>
      <c r="E222" s="87" t="s">
        <v>93</v>
      </c>
      <c r="F222" s="87" t="s">
        <v>321</v>
      </c>
      <c r="G222" s="87" t="s">
        <v>62</v>
      </c>
      <c r="H222" s="90" t="s">
        <v>524</v>
      </c>
      <c r="I222" s="90" t="s">
        <v>64</v>
      </c>
      <c r="J222" s="87" t="s">
        <v>70</v>
      </c>
      <c r="K222" s="87" t="s">
        <v>324</v>
      </c>
      <c r="L222" s="90" t="s">
        <v>1158</v>
      </c>
      <c r="M222" s="91">
        <v>3004241263</v>
      </c>
      <c r="N222" s="90" t="s">
        <v>526</v>
      </c>
      <c r="O222" s="90" t="str">
        <f t="shared" si="24"/>
        <v>Usaquén</v>
      </c>
      <c r="P222" s="87" t="s">
        <v>428</v>
      </c>
      <c r="Q222" s="87"/>
      <c r="R222" s="87"/>
      <c r="S222" s="87"/>
      <c r="T222" s="87"/>
      <c r="U222" s="87"/>
      <c r="V222" s="90" t="str">
        <f t="shared" si="25"/>
        <v>Norte</v>
      </c>
      <c r="W222" s="87" t="s">
        <v>429</v>
      </c>
      <c r="X222" s="87"/>
      <c r="Y222" s="87"/>
      <c r="Z222" s="87"/>
      <c r="AA222" s="87"/>
      <c r="AB222" s="87"/>
      <c r="AC222" s="90" t="str">
        <f t="shared" si="26"/>
        <v>Usaquén, Toberín, Torca, Cerros Orientales</v>
      </c>
      <c r="AD222" s="87" t="s">
        <v>428</v>
      </c>
      <c r="AE222" s="87" t="s">
        <v>527</v>
      </c>
      <c r="AF222" s="87" t="s">
        <v>528</v>
      </c>
      <c r="AG222" s="87" t="s">
        <v>222</v>
      </c>
      <c r="AH222" s="87"/>
      <c r="AI222" s="87"/>
      <c r="AJ222" s="87"/>
      <c r="AK222" s="87"/>
      <c r="AL222" s="87"/>
      <c r="AM222" s="87"/>
      <c r="AN222" s="90" t="s">
        <v>428</v>
      </c>
      <c r="AO222" s="90" t="s">
        <v>1159</v>
      </c>
      <c r="AP222" s="82"/>
      <c r="AQ222" s="87" t="s">
        <v>59</v>
      </c>
      <c r="AR222" s="87" t="s">
        <v>80</v>
      </c>
      <c r="AS222" s="82"/>
      <c r="AT222" s="87">
        <v>14</v>
      </c>
      <c r="AU222" s="87">
        <v>1</v>
      </c>
      <c r="AV222" s="87">
        <f t="shared" si="5"/>
        <v>15</v>
      </c>
      <c r="AW222" s="87" t="str">
        <f t="shared" si="29"/>
        <v>No Aplica</v>
      </c>
      <c r="AX222" s="87" t="s">
        <v>78</v>
      </c>
      <c r="AY222" s="87"/>
      <c r="AZ222" s="87"/>
      <c r="BA222" s="91" t="s">
        <v>1160</v>
      </c>
      <c r="BB222" s="84"/>
      <c r="BC222" s="85"/>
      <c r="BD222" s="85"/>
    </row>
    <row r="223" spans="1:56" s="86" customFormat="1" ht="46.5" customHeight="1">
      <c r="A223" s="87">
        <v>218</v>
      </c>
      <c r="B223" s="79" t="s">
        <v>1161</v>
      </c>
      <c r="C223" s="88">
        <v>45386</v>
      </c>
      <c r="D223" s="89">
        <v>0.39583333333333331</v>
      </c>
      <c r="E223" s="87" t="s">
        <v>58</v>
      </c>
      <c r="F223" s="87" t="s">
        <v>61</v>
      </c>
      <c r="G223" s="87" t="s">
        <v>62</v>
      </c>
      <c r="H223" s="90" t="s">
        <v>1162</v>
      </c>
      <c r="I223" s="90" t="s">
        <v>118</v>
      </c>
      <c r="J223" s="87" t="s">
        <v>70</v>
      </c>
      <c r="K223" s="87" t="s">
        <v>300</v>
      </c>
      <c r="L223" s="90" t="s">
        <v>301</v>
      </c>
      <c r="M223" s="91" t="s">
        <v>302</v>
      </c>
      <c r="N223" s="90" t="s">
        <v>72</v>
      </c>
      <c r="O223" s="90" t="str">
        <f t="shared" si="24"/>
        <v>Distrital</v>
      </c>
      <c r="P223" s="87" t="s">
        <v>73</v>
      </c>
      <c r="Q223" s="87"/>
      <c r="R223" s="87"/>
      <c r="S223" s="87"/>
      <c r="T223" s="87"/>
      <c r="U223" s="87"/>
      <c r="V223" s="90" t="str">
        <f t="shared" si="25"/>
        <v>Distrital</v>
      </c>
      <c r="W223" s="87" t="s">
        <v>73</v>
      </c>
      <c r="X223" s="87"/>
      <c r="Y223" s="87"/>
      <c r="Z223" s="87"/>
      <c r="AA223" s="87"/>
      <c r="AB223" s="87"/>
      <c r="AC223" s="90" t="str">
        <f t="shared" si="26"/>
        <v>Distrital</v>
      </c>
      <c r="AD223" s="87" t="s">
        <v>73</v>
      </c>
      <c r="AE223" s="87"/>
      <c r="AF223" s="87"/>
      <c r="AG223" s="87"/>
      <c r="AH223" s="87"/>
      <c r="AI223" s="87"/>
      <c r="AJ223" s="87"/>
      <c r="AK223" s="87"/>
      <c r="AL223" s="87"/>
      <c r="AM223" s="87"/>
      <c r="AN223" s="90" t="s">
        <v>160</v>
      </c>
      <c r="AO223" s="90" t="s">
        <v>1163</v>
      </c>
      <c r="AP223" s="82"/>
      <c r="AQ223" s="87" t="s">
        <v>60</v>
      </c>
      <c r="AR223" s="87" t="s">
        <v>77</v>
      </c>
      <c r="AS223" s="82"/>
      <c r="AT223" s="87">
        <v>15</v>
      </c>
      <c r="AU223" s="87">
        <v>5</v>
      </c>
      <c r="AV223" s="87">
        <f t="shared" si="5"/>
        <v>20</v>
      </c>
      <c r="AW223" s="87" t="str">
        <f t="shared" si="29"/>
        <v>No Aplica</v>
      </c>
      <c r="AX223" s="87" t="s">
        <v>78</v>
      </c>
      <c r="AY223" s="87"/>
      <c r="AZ223" s="87"/>
      <c r="BA223" s="91" t="s">
        <v>1164</v>
      </c>
      <c r="BB223" s="84"/>
      <c r="BC223" s="85"/>
      <c r="BD223" s="85"/>
    </row>
    <row r="224" spans="1:56" s="86" customFormat="1" ht="46.5" customHeight="1">
      <c r="A224" s="78">
        <v>219</v>
      </c>
      <c r="B224" s="79" t="s">
        <v>1165</v>
      </c>
      <c r="C224" s="88">
        <v>45386</v>
      </c>
      <c r="D224" s="89">
        <v>0.41666666666666669</v>
      </c>
      <c r="E224" s="87" t="s">
        <v>58</v>
      </c>
      <c r="F224" s="87" t="s">
        <v>135</v>
      </c>
      <c r="G224" s="87" t="s">
        <v>62</v>
      </c>
      <c r="H224" s="90" t="s">
        <v>803</v>
      </c>
      <c r="I224" s="90" t="s">
        <v>64</v>
      </c>
      <c r="J224" s="87" t="s">
        <v>70</v>
      </c>
      <c r="K224" s="87" t="s">
        <v>71</v>
      </c>
      <c r="L224" s="90" t="s">
        <v>804</v>
      </c>
      <c r="M224" s="91">
        <v>3014462599</v>
      </c>
      <c r="N224" s="90" t="s">
        <v>805</v>
      </c>
      <c r="O224" s="90" t="str">
        <f t="shared" si="24"/>
        <v>Distrital</v>
      </c>
      <c r="P224" s="87" t="s">
        <v>73</v>
      </c>
      <c r="Q224" s="87"/>
      <c r="R224" s="87"/>
      <c r="S224" s="87"/>
      <c r="T224" s="87"/>
      <c r="U224" s="87"/>
      <c r="V224" s="90" t="str">
        <f t="shared" si="25"/>
        <v>Distrital</v>
      </c>
      <c r="W224" s="87" t="s">
        <v>73</v>
      </c>
      <c r="X224" s="87"/>
      <c r="Y224" s="87"/>
      <c r="Z224" s="87"/>
      <c r="AA224" s="87"/>
      <c r="AB224" s="87"/>
      <c r="AC224" s="90" t="str">
        <f t="shared" si="26"/>
        <v>Distrital</v>
      </c>
      <c r="AD224" s="87" t="s">
        <v>73</v>
      </c>
      <c r="AE224" s="87"/>
      <c r="AF224" s="87"/>
      <c r="AG224" s="87"/>
      <c r="AH224" s="87"/>
      <c r="AI224" s="87"/>
      <c r="AJ224" s="87"/>
      <c r="AK224" s="87"/>
      <c r="AL224" s="87"/>
      <c r="AM224" s="87"/>
      <c r="AN224" s="90" t="s">
        <v>160</v>
      </c>
      <c r="AO224" s="90" t="s">
        <v>1166</v>
      </c>
      <c r="AP224" s="82"/>
      <c r="AQ224" s="87" t="s">
        <v>59</v>
      </c>
      <c r="AR224" s="87" t="s">
        <v>80</v>
      </c>
      <c r="AS224" s="82"/>
      <c r="AT224" s="87">
        <v>0</v>
      </c>
      <c r="AU224" s="87">
        <v>10</v>
      </c>
      <c r="AV224" s="87">
        <f t="shared" si="5"/>
        <v>10</v>
      </c>
      <c r="AW224" s="87" t="str">
        <f t="shared" si="29"/>
        <v>No Aplica</v>
      </c>
      <c r="AX224" s="87" t="s">
        <v>78</v>
      </c>
      <c r="AY224" s="87"/>
      <c r="AZ224" s="87"/>
      <c r="BA224" s="91" t="s">
        <v>1167</v>
      </c>
      <c r="BB224" s="84"/>
      <c r="BC224" s="85"/>
      <c r="BD224" s="85"/>
    </row>
    <row r="225" spans="1:56" s="86" customFormat="1" ht="46.5" customHeight="1">
      <c r="A225" s="87">
        <v>220</v>
      </c>
      <c r="B225" s="79" t="s">
        <v>1168</v>
      </c>
      <c r="C225" s="88">
        <v>45386</v>
      </c>
      <c r="D225" s="89">
        <v>0.45833333333333331</v>
      </c>
      <c r="E225" s="87" t="s">
        <v>58</v>
      </c>
      <c r="F225" s="87" t="s">
        <v>61</v>
      </c>
      <c r="G225" s="87" t="s">
        <v>95</v>
      </c>
      <c r="H225" s="90" t="s">
        <v>1169</v>
      </c>
      <c r="I225" s="90" t="s">
        <v>172</v>
      </c>
      <c r="J225" s="87" t="s">
        <v>173</v>
      </c>
      <c r="K225" s="87"/>
      <c r="L225" s="90" t="s">
        <v>1170</v>
      </c>
      <c r="M225" s="91" t="s">
        <v>1171</v>
      </c>
      <c r="N225" s="90" t="s">
        <v>1172</v>
      </c>
      <c r="O225" s="90" t="str">
        <f t="shared" si="24"/>
        <v>Distrital</v>
      </c>
      <c r="P225" s="87" t="s">
        <v>73</v>
      </c>
      <c r="Q225" s="87"/>
      <c r="R225" s="87"/>
      <c r="S225" s="87"/>
      <c r="T225" s="87"/>
      <c r="U225" s="87"/>
      <c r="V225" s="90" t="str">
        <f t="shared" si="25"/>
        <v>Distrital</v>
      </c>
      <c r="W225" s="87" t="s">
        <v>73</v>
      </c>
      <c r="X225" s="87"/>
      <c r="Y225" s="87"/>
      <c r="Z225" s="87"/>
      <c r="AA225" s="87"/>
      <c r="AB225" s="87"/>
      <c r="AC225" s="90" t="str">
        <f t="shared" si="26"/>
        <v>Distrital</v>
      </c>
      <c r="AD225" s="87" t="s">
        <v>73</v>
      </c>
      <c r="AE225" s="87"/>
      <c r="AF225" s="87"/>
      <c r="AG225" s="87"/>
      <c r="AH225" s="87"/>
      <c r="AI225" s="87"/>
      <c r="AJ225" s="87"/>
      <c r="AK225" s="87"/>
      <c r="AL225" s="87"/>
      <c r="AM225" s="87"/>
      <c r="AN225" s="90" t="s">
        <v>160</v>
      </c>
      <c r="AO225" s="92" t="s">
        <v>1173</v>
      </c>
      <c r="AP225" s="82"/>
      <c r="AQ225" s="87" t="s">
        <v>60</v>
      </c>
      <c r="AR225" s="87" t="s">
        <v>398</v>
      </c>
      <c r="AS225" s="82"/>
      <c r="AT225" s="87">
        <v>3</v>
      </c>
      <c r="AU225" s="87">
        <v>2</v>
      </c>
      <c r="AV225" s="87">
        <f t="shared" si="5"/>
        <v>5</v>
      </c>
      <c r="AW225" s="87" t="str">
        <f t="shared" si="29"/>
        <v>No Aplica</v>
      </c>
      <c r="AX225" s="87" t="s">
        <v>78</v>
      </c>
      <c r="AY225" s="87"/>
      <c r="AZ225" s="87"/>
      <c r="BA225" s="91" t="s">
        <v>1174</v>
      </c>
      <c r="BB225" s="84"/>
      <c r="BC225" s="85"/>
      <c r="BD225" s="85"/>
    </row>
    <row r="226" spans="1:56" s="86" customFormat="1" ht="46.5" customHeight="1">
      <c r="A226" s="78">
        <v>221</v>
      </c>
      <c r="B226" s="79" t="s">
        <v>1175</v>
      </c>
      <c r="C226" s="88">
        <v>45386</v>
      </c>
      <c r="D226" s="89">
        <v>0.58333333333333337</v>
      </c>
      <c r="E226" s="87" t="s">
        <v>58</v>
      </c>
      <c r="F226" s="87" t="s">
        <v>61</v>
      </c>
      <c r="G226" s="87" t="s">
        <v>62</v>
      </c>
      <c r="H226" s="90" t="s">
        <v>1176</v>
      </c>
      <c r="I226" s="90" t="s">
        <v>172</v>
      </c>
      <c r="J226" s="87" t="s">
        <v>119</v>
      </c>
      <c r="K226" s="87" t="s">
        <v>610</v>
      </c>
      <c r="L226" s="90" t="s">
        <v>1177</v>
      </c>
      <c r="M226" s="91">
        <v>3228806919</v>
      </c>
      <c r="N226" s="90" t="s">
        <v>935</v>
      </c>
      <c r="O226" s="90" t="str">
        <f t="shared" si="24"/>
        <v>Ciudad Bolívar</v>
      </c>
      <c r="P226" s="87" t="s">
        <v>107</v>
      </c>
      <c r="Q226" s="87"/>
      <c r="R226" s="87"/>
      <c r="S226" s="87"/>
      <c r="T226" s="87"/>
      <c r="U226" s="87"/>
      <c r="V226" s="90" t="str">
        <f t="shared" si="25"/>
        <v>Suroriente</v>
      </c>
      <c r="W226" s="87" t="s">
        <v>108</v>
      </c>
      <c r="X226" s="87"/>
      <c r="Y226" s="87"/>
      <c r="Z226" s="87"/>
      <c r="AA226" s="87"/>
      <c r="AB226" s="87"/>
      <c r="AC226" s="90" t="str">
        <f t="shared" si="26"/>
        <v>Lucero, Arborizadora</v>
      </c>
      <c r="AD226" s="87" t="s">
        <v>111</v>
      </c>
      <c r="AE226" s="87" t="s">
        <v>110</v>
      </c>
      <c r="AF226" s="87"/>
      <c r="AG226" s="87"/>
      <c r="AH226" s="87"/>
      <c r="AI226" s="87"/>
      <c r="AJ226" s="87"/>
      <c r="AK226" s="87"/>
      <c r="AL226" s="87"/>
      <c r="AM226" s="87"/>
      <c r="AN226" s="90"/>
      <c r="AO226" s="90" t="s">
        <v>1178</v>
      </c>
      <c r="AP226" s="82"/>
      <c r="AQ226" s="87" t="s">
        <v>60</v>
      </c>
      <c r="AR226" s="87" t="s">
        <v>398</v>
      </c>
      <c r="AS226" s="82"/>
      <c r="AT226" s="87">
        <v>4</v>
      </c>
      <c r="AU226" s="87">
        <v>5</v>
      </c>
      <c r="AV226" s="87">
        <f t="shared" si="5"/>
        <v>9</v>
      </c>
      <c r="AW226" s="87" t="str">
        <f t="shared" si="29"/>
        <v>Ninguna</v>
      </c>
      <c r="AX226" s="87" t="s">
        <v>75</v>
      </c>
      <c r="AY226" s="87"/>
      <c r="AZ226" s="87"/>
      <c r="BA226" s="91" t="s">
        <v>1179</v>
      </c>
      <c r="BB226" s="84"/>
      <c r="BC226" s="85"/>
      <c r="BD226" s="85"/>
    </row>
    <row r="227" spans="1:56" s="86" customFormat="1" ht="46.5" customHeight="1">
      <c r="A227" s="87">
        <v>222</v>
      </c>
      <c r="B227" s="79" t="s">
        <v>517</v>
      </c>
      <c r="C227" s="88">
        <v>45386</v>
      </c>
      <c r="D227" s="89">
        <v>0.58333333333333337</v>
      </c>
      <c r="E227" s="87" t="s">
        <v>93</v>
      </c>
      <c r="F227" s="87" t="s">
        <v>321</v>
      </c>
      <c r="G227" s="87" t="s">
        <v>62</v>
      </c>
      <c r="H227" s="90" t="s">
        <v>1180</v>
      </c>
      <c r="I227" s="90" t="s">
        <v>64</v>
      </c>
      <c r="J227" s="87" t="s">
        <v>70</v>
      </c>
      <c r="K227" s="87" t="s">
        <v>324</v>
      </c>
      <c r="L227" s="90" t="s">
        <v>696</v>
      </c>
      <c r="M227" s="90" t="s">
        <v>72</v>
      </c>
      <c r="N227" s="90" t="s">
        <v>72</v>
      </c>
      <c r="O227" s="90" t="str">
        <f t="shared" si="24"/>
        <v>Rafael Uribe Uribe</v>
      </c>
      <c r="P227" s="87" t="s">
        <v>414</v>
      </c>
      <c r="Q227" s="87"/>
      <c r="R227" s="87"/>
      <c r="S227" s="87"/>
      <c r="T227" s="87"/>
      <c r="U227" s="87"/>
      <c r="V227" s="90" t="str">
        <f t="shared" si="25"/>
        <v>Suroriente</v>
      </c>
      <c r="W227" s="87" t="s">
        <v>108</v>
      </c>
      <c r="X227" s="87"/>
      <c r="Y227" s="87"/>
      <c r="Z227" s="87"/>
      <c r="AA227" s="87"/>
      <c r="AB227" s="87"/>
      <c r="AC227" s="90" t="str">
        <f t="shared" si="26"/>
        <v>San Cristobal, Cerros Orientales</v>
      </c>
      <c r="AD227" s="87" t="s">
        <v>371</v>
      </c>
      <c r="AE227" s="87" t="s">
        <v>222</v>
      </c>
      <c r="AF227" s="87"/>
      <c r="AG227" s="87"/>
      <c r="AH227" s="87"/>
      <c r="AI227" s="87"/>
      <c r="AJ227" s="87"/>
      <c r="AK227" s="87"/>
      <c r="AL227" s="87"/>
      <c r="AM227" s="87"/>
      <c r="AN227" s="90" t="s">
        <v>160</v>
      </c>
      <c r="AO227" s="90" t="s">
        <v>1181</v>
      </c>
      <c r="AP227" s="82"/>
      <c r="AQ227" s="87" t="s">
        <v>59</v>
      </c>
      <c r="AR227" s="87" t="s">
        <v>80</v>
      </c>
      <c r="AS227" s="82"/>
      <c r="AT227" s="87">
        <v>20</v>
      </c>
      <c r="AU227" s="87">
        <v>1</v>
      </c>
      <c r="AV227" s="87">
        <f t="shared" si="5"/>
        <v>21</v>
      </c>
      <c r="AW227" s="87" t="str">
        <f t="shared" si="29"/>
        <v>No Aplica</v>
      </c>
      <c r="AX227" s="87" t="s">
        <v>78</v>
      </c>
      <c r="AY227" s="87"/>
      <c r="AZ227" s="87"/>
      <c r="BA227" s="91" t="s">
        <v>1182</v>
      </c>
      <c r="BB227" s="84"/>
      <c r="BC227" s="85"/>
      <c r="BD227" s="85"/>
    </row>
    <row r="228" spans="1:56" s="86" customFormat="1" ht="46.5" customHeight="1">
      <c r="A228" s="78">
        <v>223</v>
      </c>
      <c r="B228" s="79" t="s">
        <v>1183</v>
      </c>
      <c r="C228" s="88">
        <v>45386</v>
      </c>
      <c r="D228" s="89">
        <v>0.66666666666666663</v>
      </c>
      <c r="E228" s="87" t="s">
        <v>58</v>
      </c>
      <c r="F228" s="87" t="s">
        <v>1184</v>
      </c>
      <c r="G228" s="87" t="s">
        <v>62</v>
      </c>
      <c r="H228" s="90" t="s">
        <v>1185</v>
      </c>
      <c r="I228" s="90" t="s">
        <v>188</v>
      </c>
      <c r="J228" s="87" t="s">
        <v>173</v>
      </c>
      <c r="K228" s="87"/>
      <c r="L228" s="90" t="s">
        <v>1186</v>
      </c>
      <c r="M228" s="90">
        <v>3103199936</v>
      </c>
      <c r="N228" s="90" t="s">
        <v>1187</v>
      </c>
      <c r="O228" s="90" t="str">
        <f t="shared" si="24"/>
        <v>Engativá</v>
      </c>
      <c r="P228" s="87" t="s">
        <v>123</v>
      </c>
      <c r="Q228" s="87"/>
      <c r="R228" s="87"/>
      <c r="S228" s="87"/>
      <c r="T228" s="87"/>
      <c r="U228" s="87"/>
      <c r="V228" s="90" t="str">
        <f t="shared" si="25"/>
        <v>Occidente</v>
      </c>
      <c r="W228" s="87" t="s">
        <v>124</v>
      </c>
      <c r="X228" s="87"/>
      <c r="Y228" s="87"/>
      <c r="Z228" s="87"/>
      <c r="AA228" s="87"/>
      <c r="AB228" s="87"/>
      <c r="AC228" s="90" t="str">
        <f t="shared" si="26"/>
        <v>Tabora</v>
      </c>
      <c r="AD228" s="87" t="s">
        <v>257</v>
      </c>
      <c r="AE228" s="87"/>
      <c r="AF228" s="87"/>
      <c r="AG228" s="87"/>
      <c r="AH228" s="87"/>
      <c r="AI228" s="87"/>
      <c r="AJ228" s="87"/>
      <c r="AK228" s="87"/>
      <c r="AL228" s="87"/>
      <c r="AM228" s="87"/>
      <c r="AN228" s="90" t="s">
        <v>1188</v>
      </c>
      <c r="AO228" s="90" t="s">
        <v>1189</v>
      </c>
      <c r="AP228" s="82"/>
      <c r="AQ228" s="87" t="s">
        <v>59</v>
      </c>
      <c r="AR228" s="87" t="s">
        <v>80</v>
      </c>
      <c r="AS228" s="82"/>
      <c r="AT228" s="87">
        <v>64</v>
      </c>
      <c r="AU228" s="87">
        <v>4</v>
      </c>
      <c r="AV228" s="87">
        <f t="shared" si="5"/>
        <v>68</v>
      </c>
      <c r="AW228" s="87" t="str">
        <f t="shared" si="29"/>
        <v>Accesibilidad Universal</v>
      </c>
      <c r="AX228" s="87" t="s">
        <v>246</v>
      </c>
      <c r="AY228" s="87"/>
      <c r="AZ228" s="87"/>
      <c r="BA228" s="91" t="s">
        <v>1190</v>
      </c>
      <c r="BB228" s="84"/>
      <c r="BC228" s="85"/>
      <c r="BD228" s="85"/>
    </row>
    <row r="229" spans="1:56" s="86" customFormat="1" ht="46.5" customHeight="1">
      <c r="A229" s="87">
        <v>224</v>
      </c>
      <c r="B229" s="79" t="s">
        <v>1191</v>
      </c>
      <c r="C229" s="88">
        <v>45386</v>
      </c>
      <c r="D229" s="89">
        <v>0.72916666666666663</v>
      </c>
      <c r="E229" s="87" t="s">
        <v>58</v>
      </c>
      <c r="F229" s="87" t="s">
        <v>61</v>
      </c>
      <c r="G229" s="87" t="s">
        <v>62</v>
      </c>
      <c r="H229" s="90" t="s">
        <v>392</v>
      </c>
      <c r="I229" s="90" t="s">
        <v>172</v>
      </c>
      <c r="J229" s="87" t="s">
        <v>173</v>
      </c>
      <c r="K229" s="87"/>
      <c r="L229" s="90" t="s">
        <v>72</v>
      </c>
      <c r="M229" s="90" t="s">
        <v>72</v>
      </c>
      <c r="N229" s="90" t="s">
        <v>72</v>
      </c>
      <c r="O229" s="90" t="str">
        <f t="shared" si="24"/>
        <v>Usme</v>
      </c>
      <c r="P229" s="87" t="s">
        <v>670</v>
      </c>
      <c r="Q229" s="87"/>
      <c r="R229" s="87"/>
      <c r="S229" s="87"/>
      <c r="T229" s="87"/>
      <c r="U229" s="87"/>
      <c r="V229" s="90" t="str">
        <f t="shared" si="25"/>
        <v>Suroriente</v>
      </c>
      <c r="W229" s="87" t="s">
        <v>108</v>
      </c>
      <c r="X229" s="87"/>
      <c r="Y229" s="87"/>
      <c r="Z229" s="87"/>
      <c r="AA229" s="87"/>
      <c r="AB229" s="87"/>
      <c r="AC229" s="90" t="str">
        <f t="shared" si="26"/>
        <v>Usme Entrenubes</v>
      </c>
      <c r="AD229" s="87" t="s">
        <v>671</v>
      </c>
      <c r="AE229" s="87"/>
      <c r="AF229" s="87"/>
      <c r="AG229" s="87"/>
      <c r="AH229" s="87"/>
      <c r="AI229" s="87"/>
      <c r="AJ229" s="87"/>
      <c r="AK229" s="87"/>
      <c r="AL229" s="87"/>
      <c r="AM229" s="87"/>
      <c r="AN229" s="90" t="s">
        <v>160</v>
      </c>
      <c r="AO229" s="90" t="s">
        <v>1192</v>
      </c>
      <c r="AP229" s="82"/>
      <c r="AQ229" s="87" t="s">
        <v>60</v>
      </c>
      <c r="AR229" s="87" t="s">
        <v>398</v>
      </c>
      <c r="AS229" s="82"/>
      <c r="AT229" s="87">
        <v>50</v>
      </c>
      <c r="AU229" s="87">
        <v>16</v>
      </c>
      <c r="AV229" s="87">
        <f t="shared" si="5"/>
        <v>66</v>
      </c>
      <c r="AW229" s="87" t="str">
        <f t="shared" si="29"/>
        <v>Accesibilidad Universal</v>
      </c>
      <c r="AX229" s="87" t="s">
        <v>246</v>
      </c>
      <c r="AY229" s="87"/>
      <c r="AZ229" s="87"/>
      <c r="BA229" s="91" t="s">
        <v>977</v>
      </c>
      <c r="BB229" s="84"/>
      <c r="BC229" s="85"/>
      <c r="BD229" s="85"/>
    </row>
    <row r="230" spans="1:56" s="86" customFormat="1" ht="46.5" customHeight="1">
      <c r="A230" s="78">
        <v>225</v>
      </c>
      <c r="B230" s="79" t="s">
        <v>1193</v>
      </c>
      <c r="C230" s="88">
        <v>45386</v>
      </c>
      <c r="D230" s="89">
        <v>0.72916666666666663</v>
      </c>
      <c r="E230" s="87" t="s">
        <v>58</v>
      </c>
      <c r="F230" s="87" t="s">
        <v>61</v>
      </c>
      <c r="G230" s="87" t="s">
        <v>62</v>
      </c>
      <c r="H230" s="90" t="s">
        <v>392</v>
      </c>
      <c r="I230" s="90" t="s">
        <v>172</v>
      </c>
      <c r="J230" s="87" t="s">
        <v>173</v>
      </c>
      <c r="K230" s="87"/>
      <c r="L230" s="90" t="s">
        <v>72</v>
      </c>
      <c r="M230" s="90" t="s">
        <v>72</v>
      </c>
      <c r="N230" s="90" t="s">
        <v>72</v>
      </c>
      <c r="O230" s="90" t="str">
        <f t="shared" si="24"/>
        <v>Rafael Uribe Uribe, Usme</v>
      </c>
      <c r="P230" s="87" t="s">
        <v>414</v>
      </c>
      <c r="Q230" s="87" t="s">
        <v>670</v>
      </c>
      <c r="R230" s="87"/>
      <c r="S230" s="87"/>
      <c r="T230" s="87"/>
      <c r="U230" s="87"/>
      <c r="V230" s="90" t="str">
        <f t="shared" si="25"/>
        <v>Suroriente</v>
      </c>
      <c r="W230" s="87" t="s">
        <v>108</v>
      </c>
      <c r="X230" s="87"/>
      <c r="Y230" s="87"/>
      <c r="Z230" s="87"/>
      <c r="AA230" s="87"/>
      <c r="AB230" s="87"/>
      <c r="AC230" s="90" t="str">
        <f t="shared" si="26"/>
        <v>Rafael Uribe</v>
      </c>
      <c r="AD230" s="87" t="s">
        <v>467</v>
      </c>
      <c r="AE230" s="87"/>
      <c r="AF230" s="87"/>
      <c r="AG230" s="87"/>
      <c r="AH230" s="87"/>
      <c r="AI230" s="87"/>
      <c r="AJ230" s="87"/>
      <c r="AK230" s="87"/>
      <c r="AL230" s="87"/>
      <c r="AM230" s="87"/>
      <c r="AN230" s="90" t="s">
        <v>160</v>
      </c>
      <c r="AO230" s="90" t="s">
        <v>1194</v>
      </c>
      <c r="AP230" s="82"/>
      <c r="AQ230" s="87" t="s">
        <v>60</v>
      </c>
      <c r="AR230" s="87" t="s">
        <v>398</v>
      </c>
      <c r="AS230" s="82"/>
      <c r="AT230" s="87">
        <v>54</v>
      </c>
      <c r="AU230" s="87">
        <v>14</v>
      </c>
      <c r="AV230" s="87">
        <f t="shared" si="5"/>
        <v>68</v>
      </c>
      <c r="AW230" s="87" t="str">
        <f t="shared" si="29"/>
        <v>Ninguna</v>
      </c>
      <c r="AX230" s="87" t="s">
        <v>75</v>
      </c>
      <c r="AY230" s="87"/>
      <c r="AZ230" s="87"/>
      <c r="BA230" s="91" t="s">
        <v>977</v>
      </c>
      <c r="BB230" s="84"/>
      <c r="BC230" s="85"/>
      <c r="BD230" s="85"/>
    </row>
    <row r="231" spans="1:56" s="86" customFormat="1" ht="46.5" customHeight="1">
      <c r="A231" s="87">
        <v>226</v>
      </c>
      <c r="B231" s="79" t="s">
        <v>1195</v>
      </c>
      <c r="C231" s="88">
        <v>45387</v>
      </c>
      <c r="D231" s="89">
        <v>0.375</v>
      </c>
      <c r="E231" s="87" t="s">
        <v>93</v>
      </c>
      <c r="F231" s="87" t="s">
        <v>94</v>
      </c>
      <c r="G231" s="87" t="s">
        <v>95</v>
      </c>
      <c r="H231" s="90" t="s">
        <v>1196</v>
      </c>
      <c r="I231" s="90" t="s">
        <v>64</v>
      </c>
      <c r="J231" s="87" t="s">
        <v>70</v>
      </c>
      <c r="K231" s="87" t="s">
        <v>97</v>
      </c>
      <c r="L231" s="90" t="s">
        <v>98</v>
      </c>
      <c r="M231" s="90" t="s">
        <v>72</v>
      </c>
      <c r="N231" s="90" t="s">
        <v>99</v>
      </c>
      <c r="O231" s="90" t="str">
        <f t="shared" si="24"/>
        <v>Distrital</v>
      </c>
      <c r="P231" s="87" t="s">
        <v>73</v>
      </c>
      <c r="Q231" s="87"/>
      <c r="R231" s="87"/>
      <c r="S231" s="87"/>
      <c r="T231" s="87"/>
      <c r="U231" s="87"/>
      <c r="V231" s="90" t="str">
        <f t="shared" si="25"/>
        <v>Distrital</v>
      </c>
      <c r="W231" s="87" t="s">
        <v>73</v>
      </c>
      <c r="X231" s="87"/>
      <c r="Y231" s="87"/>
      <c r="Z231" s="87"/>
      <c r="AA231" s="87"/>
      <c r="AB231" s="87"/>
      <c r="AC231" s="90" t="str">
        <f t="shared" si="26"/>
        <v>Distrital</v>
      </c>
      <c r="AD231" s="87" t="s">
        <v>73</v>
      </c>
      <c r="AE231" s="87"/>
      <c r="AF231" s="87"/>
      <c r="AG231" s="87"/>
      <c r="AH231" s="87"/>
      <c r="AI231" s="87"/>
      <c r="AJ231" s="87"/>
      <c r="AK231" s="87"/>
      <c r="AL231" s="87"/>
      <c r="AM231" s="87"/>
      <c r="AN231" s="90" t="s">
        <v>160</v>
      </c>
      <c r="AO231" s="92" t="s">
        <v>1197</v>
      </c>
      <c r="AP231" s="82"/>
      <c r="AQ231" s="87" t="s">
        <v>60</v>
      </c>
      <c r="AR231" s="87" t="s">
        <v>77</v>
      </c>
      <c r="AS231" s="82"/>
      <c r="AT231" s="87">
        <v>6</v>
      </c>
      <c r="AU231" s="87">
        <v>1</v>
      </c>
      <c r="AV231" s="87">
        <f t="shared" si="5"/>
        <v>7</v>
      </c>
      <c r="AW231" s="87" t="str">
        <f t="shared" si="29"/>
        <v>No Aplica</v>
      </c>
      <c r="AX231" s="87" t="s">
        <v>78</v>
      </c>
      <c r="AY231" s="87"/>
      <c r="AZ231" s="87"/>
      <c r="BA231" s="91" t="s">
        <v>1198</v>
      </c>
      <c r="BB231" s="84"/>
      <c r="BC231" s="85"/>
      <c r="BD231" s="85"/>
    </row>
    <row r="232" spans="1:56" s="86" customFormat="1" ht="46.5" customHeight="1">
      <c r="A232" s="78">
        <v>227</v>
      </c>
      <c r="B232" s="79" t="s">
        <v>1199</v>
      </c>
      <c r="C232" s="88">
        <v>45387</v>
      </c>
      <c r="D232" s="89">
        <v>0.60416666666666663</v>
      </c>
      <c r="E232" s="87" t="s">
        <v>58</v>
      </c>
      <c r="F232" s="87" t="s">
        <v>61</v>
      </c>
      <c r="G232" s="87" t="s">
        <v>62</v>
      </c>
      <c r="H232" s="90" t="s">
        <v>392</v>
      </c>
      <c r="I232" s="90" t="s">
        <v>172</v>
      </c>
      <c r="J232" s="87" t="s">
        <v>173</v>
      </c>
      <c r="K232" s="87"/>
      <c r="L232" s="90" t="s">
        <v>1200</v>
      </c>
      <c r="M232" s="90" t="s">
        <v>1201</v>
      </c>
      <c r="N232" s="90" t="s">
        <v>72</v>
      </c>
      <c r="O232" s="90" t="str">
        <f t="shared" si="24"/>
        <v>Sumapaz</v>
      </c>
      <c r="P232" s="87" t="s">
        <v>327</v>
      </c>
      <c r="Q232" s="87"/>
      <c r="R232" s="87"/>
      <c r="S232" s="87"/>
      <c r="T232" s="87"/>
      <c r="U232" s="87"/>
      <c r="V232" s="90" t="str">
        <f t="shared" si="25"/>
        <v>Ruralidad</v>
      </c>
      <c r="W232" s="87" t="s">
        <v>109</v>
      </c>
      <c r="X232" s="87"/>
      <c r="Y232" s="87"/>
      <c r="Z232" s="87"/>
      <c r="AA232" s="87"/>
      <c r="AB232" s="87"/>
      <c r="AC232" s="90" t="str">
        <f t="shared" si="26"/>
        <v>Sumapaz</v>
      </c>
      <c r="AD232" s="87" t="s">
        <v>327</v>
      </c>
      <c r="AE232" s="87"/>
      <c r="AF232" s="87"/>
      <c r="AG232" s="87"/>
      <c r="AH232" s="87"/>
      <c r="AI232" s="87"/>
      <c r="AJ232" s="87"/>
      <c r="AK232" s="87"/>
      <c r="AL232" s="87"/>
      <c r="AM232" s="87"/>
      <c r="AN232" s="90" t="s">
        <v>160</v>
      </c>
      <c r="AO232" s="90" t="s">
        <v>1202</v>
      </c>
      <c r="AP232" s="82"/>
      <c r="AQ232" s="87" t="s">
        <v>60</v>
      </c>
      <c r="AR232" s="87" t="s">
        <v>398</v>
      </c>
      <c r="AS232" s="82"/>
      <c r="AT232" s="87">
        <v>20</v>
      </c>
      <c r="AU232" s="87">
        <v>9</v>
      </c>
      <c r="AV232" s="87">
        <f t="shared" si="5"/>
        <v>29</v>
      </c>
      <c r="AW232" s="87" t="str">
        <f t="shared" si="29"/>
        <v>Horarios Acordes, Contenidos adaptados</v>
      </c>
      <c r="AX232" s="87" t="s">
        <v>213</v>
      </c>
      <c r="AY232" s="87" t="s">
        <v>212</v>
      </c>
      <c r="AZ232" s="87"/>
      <c r="BA232" s="91" t="s">
        <v>1203</v>
      </c>
      <c r="BB232" s="84"/>
      <c r="BC232" s="85"/>
      <c r="BD232" s="85"/>
    </row>
    <row r="233" spans="1:56" s="86" customFormat="1" ht="46.5" customHeight="1">
      <c r="A233" s="87">
        <v>228</v>
      </c>
      <c r="B233" s="79" t="s">
        <v>1204</v>
      </c>
      <c r="C233" s="88">
        <v>45387</v>
      </c>
      <c r="D233" s="89">
        <v>0.625</v>
      </c>
      <c r="E233" s="87" t="s">
        <v>58</v>
      </c>
      <c r="F233" s="87" t="s">
        <v>1205</v>
      </c>
      <c r="G233" s="87" t="s">
        <v>62</v>
      </c>
      <c r="H233" s="90" t="s">
        <v>1206</v>
      </c>
      <c r="I233" s="90" t="s">
        <v>172</v>
      </c>
      <c r="J233" s="87" t="s">
        <v>119</v>
      </c>
      <c r="K233" s="87" t="s">
        <v>610</v>
      </c>
      <c r="L233" s="90" t="s">
        <v>72</v>
      </c>
      <c r="M233" s="90" t="s">
        <v>72</v>
      </c>
      <c r="N233" s="90" t="s">
        <v>72</v>
      </c>
      <c r="O233" s="90" t="str">
        <f t="shared" si="24"/>
        <v>Suba</v>
      </c>
      <c r="P233" s="87" t="s">
        <v>394</v>
      </c>
      <c r="Q233" s="87"/>
      <c r="R233" s="87"/>
      <c r="S233" s="87"/>
      <c r="T233" s="87"/>
      <c r="U233" s="87"/>
      <c r="V233" s="90" t="str">
        <f t="shared" si="25"/>
        <v>Noroccidente, Norte</v>
      </c>
      <c r="W233" s="87" t="s">
        <v>395</v>
      </c>
      <c r="X233" s="87" t="s">
        <v>429</v>
      </c>
      <c r="Y233" s="87"/>
      <c r="Z233" s="87"/>
      <c r="AA233" s="87"/>
      <c r="AB233" s="87"/>
      <c r="AC233" s="90" t="str">
        <f t="shared" si="26"/>
        <v>Suba, Tibabuyes, Suba Rincón, Britalia, Torca, Niza</v>
      </c>
      <c r="AD233" s="87" t="s">
        <v>394</v>
      </c>
      <c r="AE233" s="87" t="s">
        <v>924</v>
      </c>
      <c r="AF233" s="87" t="s">
        <v>396</v>
      </c>
      <c r="AG233" s="87" t="s">
        <v>876</v>
      </c>
      <c r="AH233" s="87" t="s">
        <v>528</v>
      </c>
      <c r="AI233" s="87" t="s">
        <v>571</v>
      </c>
      <c r="AJ233" s="87"/>
      <c r="AK233" s="87"/>
      <c r="AL233" s="87"/>
      <c r="AM233" s="87"/>
      <c r="AN233" s="90" t="s">
        <v>160</v>
      </c>
      <c r="AO233" s="90" t="s">
        <v>1207</v>
      </c>
      <c r="AP233" s="82"/>
      <c r="AQ233" s="87" t="s">
        <v>59</v>
      </c>
      <c r="AR233" s="87" t="s">
        <v>80</v>
      </c>
      <c r="AS233" s="82"/>
      <c r="AT233" s="87">
        <v>40</v>
      </c>
      <c r="AU233" s="87">
        <v>3</v>
      </c>
      <c r="AV233" s="87">
        <f t="shared" si="5"/>
        <v>43</v>
      </c>
      <c r="AW233" s="87" t="str">
        <f t="shared" si="29"/>
        <v>No Aplica</v>
      </c>
      <c r="AX233" s="87" t="s">
        <v>78</v>
      </c>
      <c r="AY233" s="87"/>
      <c r="AZ233" s="87"/>
      <c r="BA233" s="91" t="s">
        <v>1208</v>
      </c>
      <c r="BB233" s="84"/>
      <c r="BC233" s="85"/>
      <c r="BD233" s="85"/>
    </row>
    <row r="234" spans="1:56" s="86" customFormat="1" ht="46.5" customHeight="1">
      <c r="A234" s="78">
        <v>229</v>
      </c>
      <c r="B234" s="79" t="s">
        <v>1209</v>
      </c>
      <c r="C234" s="88">
        <v>45387</v>
      </c>
      <c r="D234" s="89">
        <v>0.41666666666666669</v>
      </c>
      <c r="E234" s="87" t="s">
        <v>58</v>
      </c>
      <c r="F234" s="87" t="s">
        <v>61</v>
      </c>
      <c r="G234" s="87" t="s">
        <v>62</v>
      </c>
      <c r="H234" s="90" t="s">
        <v>939</v>
      </c>
      <c r="I234" s="90" t="s">
        <v>172</v>
      </c>
      <c r="J234" s="87" t="s">
        <v>119</v>
      </c>
      <c r="K234" s="87" t="s">
        <v>610</v>
      </c>
      <c r="L234" s="90" t="s">
        <v>940</v>
      </c>
      <c r="M234" s="91">
        <v>3148396805</v>
      </c>
      <c r="N234" s="90" t="s">
        <v>941</v>
      </c>
      <c r="O234" s="90" t="str">
        <f t="shared" si="24"/>
        <v>Distrital</v>
      </c>
      <c r="P234" s="87" t="s">
        <v>73</v>
      </c>
      <c r="Q234" s="87"/>
      <c r="R234" s="87"/>
      <c r="S234" s="87"/>
      <c r="T234" s="87"/>
      <c r="U234" s="87"/>
      <c r="V234" s="90" t="str">
        <f t="shared" si="25"/>
        <v>Distrital</v>
      </c>
      <c r="W234" s="87" t="s">
        <v>73</v>
      </c>
      <c r="X234" s="87"/>
      <c r="Y234" s="87"/>
      <c r="Z234" s="87"/>
      <c r="AA234" s="87"/>
      <c r="AB234" s="87"/>
      <c r="AC234" s="90" t="str">
        <f t="shared" si="26"/>
        <v>Distrital</v>
      </c>
      <c r="AD234" s="87" t="s">
        <v>73</v>
      </c>
      <c r="AE234" s="87"/>
      <c r="AF234" s="87"/>
      <c r="AG234" s="87"/>
      <c r="AH234" s="87"/>
      <c r="AI234" s="87"/>
      <c r="AJ234" s="87"/>
      <c r="AK234" s="87"/>
      <c r="AL234" s="87"/>
      <c r="AM234" s="87"/>
      <c r="AN234" s="90" t="s">
        <v>160</v>
      </c>
      <c r="AO234" s="90" t="s">
        <v>942</v>
      </c>
      <c r="AP234" s="82"/>
      <c r="AQ234" s="87" t="s">
        <v>60</v>
      </c>
      <c r="AR234" s="87" t="s">
        <v>398</v>
      </c>
      <c r="AS234" s="82"/>
      <c r="AT234" s="87">
        <v>13</v>
      </c>
      <c r="AU234" s="87">
        <v>5</v>
      </c>
      <c r="AV234" s="87">
        <f t="shared" si="5"/>
        <v>18</v>
      </c>
      <c r="AW234" s="87" t="str">
        <f t="shared" si="29"/>
        <v>No Aplica</v>
      </c>
      <c r="AX234" s="87" t="s">
        <v>78</v>
      </c>
      <c r="AY234" s="87"/>
      <c r="AZ234" s="87"/>
      <c r="BA234" s="91" t="s">
        <v>1210</v>
      </c>
      <c r="BB234" s="84"/>
      <c r="BC234" s="85"/>
      <c r="BD234" s="85"/>
    </row>
    <row r="235" spans="1:56" s="86" customFormat="1" ht="46.5" customHeight="1">
      <c r="A235" s="87">
        <v>230</v>
      </c>
      <c r="B235" s="79" t="s">
        <v>1211</v>
      </c>
      <c r="C235" s="88">
        <v>45387</v>
      </c>
      <c r="D235" s="89">
        <v>0.72916666666666663</v>
      </c>
      <c r="E235" s="87" t="s">
        <v>58</v>
      </c>
      <c r="F235" s="87" t="s">
        <v>61</v>
      </c>
      <c r="G235" s="87" t="s">
        <v>62</v>
      </c>
      <c r="H235" s="90" t="s">
        <v>392</v>
      </c>
      <c r="I235" s="90" t="s">
        <v>172</v>
      </c>
      <c r="J235" s="87" t="s">
        <v>173</v>
      </c>
      <c r="K235" s="87"/>
      <c r="L235" s="90" t="s">
        <v>72</v>
      </c>
      <c r="M235" s="90" t="s">
        <v>72</v>
      </c>
      <c r="N235" s="90" t="s">
        <v>72</v>
      </c>
      <c r="O235" s="90" t="str">
        <f t="shared" si="24"/>
        <v>Suba</v>
      </c>
      <c r="P235" s="87" t="s">
        <v>394</v>
      </c>
      <c r="Q235" s="87"/>
      <c r="R235" s="87"/>
      <c r="S235" s="87"/>
      <c r="T235" s="87"/>
      <c r="U235" s="87"/>
      <c r="V235" s="90" t="str">
        <f t="shared" si="25"/>
        <v>Noroccidente</v>
      </c>
      <c r="W235" s="87" t="s">
        <v>395</v>
      </c>
      <c r="X235" s="87"/>
      <c r="Y235" s="87"/>
      <c r="Z235" s="87"/>
      <c r="AA235" s="87"/>
      <c r="AB235" s="87"/>
      <c r="AC235" s="90" t="str">
        <f t="shared" si="26"/>
        <v>Suba</v>
      </c>
      <c r="AD235" s="87" t="s">
        <v>394</v>
      </c>
      <c r="AE235" s="87"/>
      <c r="AF235" s="87"/>
      <c r="AG235" s="87"/>
      <c r="AH235" s="87"/>
      <c r="AI235" s="87"/>
      <c r="AJ235" s="87"/>
      <c r="AK235" s="87"/>
      <c r="AL235" s="87"/>
      <c r="AM235" s="87"/>
      <c r="AN235" s="90" t="s">
        <v>160</v>
      </c>
      <c r="AO235" s="90" t="s">
        <v>1212</v>
      </c>
      <c r="AP235" s="82"/>
      <c r="AQ235" s="87" t="s">
        <v>60</v>
      </c>
      <c r="AR235" s="87" t="s">
        <v>398</v>
      </c>
      <c r="AS235" s="82"/>
      <c r="AT235" s="87">
        <v>52</v>
      </c>
      <c r="AU235" s="87">
        <v>15</v>
      </c>
      <c r="AV235" s="87">
        <f t="shared" si="5"/>
        <v>67</v>
      </c>
      <c r="AW235" s="87" t="str">
        <f t="shared" si="29"/>
        <v>Accesibilidad Universal, Horarios Acordes</v>
      </c>
      <c r="AX235" s="87" t="s">
        <v>246</v>
      </c>
      <c r="AY235" s="87" t="s">
        <v>213</v>
      </c>
      <c r="AZ235" s="87"/>
      <c r="BA235" s="91" t="s">
        <v>1213</v>
      </c>
      <c r="BB235" s="84"/>
      <c r="BC235" s="85"/>
      <c r="BD235" s="85"/>
    </row>
    <row r="236" spans="1:56" s="86" customFormat="1" ht="46.5" customHeight="1">
      <c r="A236" s="78">
        <v>231</v>
      </c>
      <c r="B236" s="79" t="s">
        <v>1214</v>
      </c>
      <c r="C236" s="88">
        <v>45387</v>
      </c>
      <c r="D236" s="89">
        <v>0.70833333333333337</v>
      </c>
      <c r="E236" s="87" t="s">
        <v>58</v>
      </c>
      <c r="F236" s="87" t="s">
        <v>61</v>
      </c>
      <c r="G236" s="87" t="s">
        <v>62</v>
      </c>
      <c r="H236" s="90" t="s">
        <v>392</v>
      </c>
      <c r="I236" s="90" t="s">
        <v>172</v>
      </c>
      <c r="J236" s="87" t="s">
        <v>173</v>
      </c>
      <c r="K236" s="90"/>
      <c r="L236" s="90" t="s">
        <v>72</v>
      </c>
      <c r="M236" s="90" t="s">
        <v>72</v>
      </c>
      <c r="N236" s="90" t="s">
        <v>72</v>
      </c>
      <c r="O236" s="90" t="str">
        <f t="shared" si="24"/>
        <v>Bosa, Kennedy</v>
      </c>
      <c r="P236" s="87" t="s">
        <v>472</v>
      </c>
      <c r="Q236" s="87" t="s">
        <v>473</v>
      </c>
      <c r="R236" s="87"/>
      <c r="S236" s="87"/>
      <c r="T236" s="87"/>
      <c r="U236" s="87"/>
      <c r="V236" s="90" t="str">
        <f t="shared" si="25"/>
        <v>Suroccidente</v>
      </c>
      <c r="W236" s="87" t="s">
        <v>474</v>
      </c>
      <c r="X236" s="90"/>
      <c r="Y236" s="90"/>
      <c r="Z236" s="90"/>
      <c r="AA236" s="90"/>
      <c r="AB236" s="90"/>
      <c r="AC236" s="90" t="str">
        <f t="shared" si="26"/>
        <v>Edén</v>
      </c>
      <c r="AD236" s="87" t="s">
        <v>704</v>
      </c>
      <c r="AE236" s="87"/>
      <c r="AF236" s="87"/>
      <c r="AG236" s="87"/>
      <c r="AH236" s="87"/>
      <c r="AI236" s="87"/>
      <c r="AJ236" s="87"/>
      <c r="AK236" s="87"/>
      <c r="AL236" s="87"/>
      <c r="AM236" s="87"/>
      <c r="AN236" s="90" t="s">
        <v>160</v>
      </c>
      <c r="AO236" s="90" t="s">
        <v>1215</v>
      </c>
      <c r="AP236" s="82"/>
      <c r="AQ236" s="87" t="s">
        <v>60</v>
      </c>
      <c r="AR236" s="87" t="s">
        <v>398</v>
      </c>
      <c r="AS236" s="82"/>
      <c r="AT236" s="87">
        <v>60</v>
      </c>
      <c r="AU236" s="87">
        <v>14</v>
      </c>
      <c r="AV236" s="87">
        <f t="shared" si="5"/>
        <v>74</v>
      </c>
      <c r="AW236" s="87" t="str">
        <f t="shared" si="29"/>
        <v>Accesibilidad Universal, Horarios Acordes, Contenidos adaptados</v>
      </c>
      <c r="AX236" s="87" t="s">
        <v>246</v>
      </c>
      <c r="AY236" s="87" t="s">
        <v>213</v>
      </c>
      <c r="AZ236" s="87" t="s">
        <v>212</v>
      </c>
      <c r="BA236" s="91" t="s">
        <v>1213</v>
      </c>
      <c r="BB236" s="82"/>
      <c r="BC236" s="85"/>
      <c r="BD236" s="85"/>
    </row>
    <row r="237" spans="1:56" s="86" customFormat="1" ht="46.5" customHeight="1">
      <c r="A237" s="87">
        <v>232</v>
      </c>
      <c r="B237" s="79" t="s">
        <v>760</v>
      </c>
      <c r="C237" s="88">
        <v>45388</v>
      </c>
      <c r="D237" s="89">
        <v>0.33333333333333331</v>
      </c>
      <c r="E237" s="87" t="s">
        <v>562</v>
      </c>
      <c r="F237" s="87" t="s">
        <v>61</v>
      </c>
      <c r="G237" s="87" t="s">
        <v>62</v>
      </c>
      <c r="H237" s="90" t="s">
        <v>1216</v>
      </c>
      <c r="I237" s="90" t="s">
        <v>172</v>
      </c>
      <c r="J237" s="87" t="s">
        <v>119</v>
      </c>
      <c r="K237" s="87" t="s">
        <v>610</v>
      </c>
      <c r="L237" s="90" t="s">
        <v>762</v>
      </c>
      <c r="M237" s="91">
        <v>3112391335</v>
      </c>
      <c r="N237" s="90" t="s">
        <v>763</v>
      </c>
      <c r="O237" s="90" t="str">
        <f t="shared" si="24"/>
        <v>Distrital</v>
      </c>
      <c r="P237" s="87" t="s">
        <v>73</v>
      </c>
      <c r="Q237" s="87"/>
      <c r="R237" s="87"/>
      <c r="S237" s="87"/>
      <c r="T237" s="87"/>
      <c r="U237" s="87"/>
      <c r="V237" s="90" t="str">
        <f t="shared" si="25"/>
        <v>Distrital</v>
      </c>
      <c r="W237" s="87" t="s">
        <v>73</v>
      </c>
      <c r="X237" s="87"/>
      <c r="Y237" s="87"/>
      <c r="Z237" s="87"/>
      <c r="AA237" s="87"/>
      <c r="AB237" s="87"/>
      <c r="AC237" s="90" t="str">
        <f t="shared" si="26"/>
        <v>Distrital</v>
      </c>
      <c r="AD237" s="87" t="s">
        <v>73</v>
      </c>
      <c r="AE237" s="87"/>
      <c r="AF237" s="87"/>
      <c r="AG237" s="87"/>
      <c r="AH237" s="87"/>
      <c r="AI237" s="87"/>
      <c r="AJ237" s="87"/>
      <c r="AK237" s="87"/>
      <c r="AL237" s="87"/>
      <c r="AM237" s="87"/>
      <c r="AN237" s="90" t="s">
        <v>160</v>
      </c>
      <c r="AO237" s="90" t="s">
        <v>1217</v>
      </c>
      <c r="AP237" s="82"/>
      <c r="AQ237" s="87" t="s">
        <v>60</v>
      </c>
      <c r="AR237" s="87" t="s">
        <v>398</v>
      </c>
      <c r="AS237" s="82"/>
      <c r="AT237" s="87">
        <v>35</v>
      </c>
      <c r="AU237" s="87">
        <v>10</v>
      </c>
      <c r="AV237" s="87">
        <f t="shared" si="5"/>
        <v>45</v>
      </c>
      <c r="AW237" s="87" t="str">
        <f t="shared" ref="AW237" si="30">_xlfn.TEXTJOIN(", ",TRUE,$AX237:$AZ237)</f>
        <v>Lenguaje de señas</v>
      </c>
      <c r="AX237" s="87" t="s">
        <v>211</v>
      </c>
      <c r="AY237" s="87"/>
      <c r="AZ237" s="87"/>
      <c r="BA237" s="91" t="s">
        <v>765</v>
      </c>
      <c r="BB237" s="84"/>
      <c r="BC237" s="85"/>
      <c r="BD237" s="85"/>
    </row>
    <row r="238" spans="1:56" s="86" customFormat="1" ht="46.5" customHeight="1">
      <c r="A238" s="78">
        <v>233</v>
      </c>
      <c r="B238" s="79" t="s">
        <v>1218</v>
      </c>
      <c r="C238" s="88">
        <v>45388</v>
      </c>
      <c r="D238" s="89">
        <v>0.375</v>
      </c>
      <c r="E238" s="87" t="s">
        <v>58</v>
      </c>
      <c r="F238" s="87" t="s">
        <v>61</v>
      </c>
      <c r="G238" s="87" t="s">
        <v>62</v>
      </c>
      <c r="H238" s="90" t="s">
        <v>392</v>
      </c>
      <c r="I238" s="90" t="s">
        <v>172</v>
      </c>
      <c r="J238" s="87" t="s">
        <v>173</v>
      </c>
      <c r="K238" s="87"/>
      <c r="L238" s="90" t="s">
        <v>72</v>
      </c>
      <c r="M238" s="90" t="s">
        <v>72</v>
      </c>
      <c r="N238" s="90" t="s">
        <v>72</v>
      </c>
      <c r="O238" s="90" t="str">
        <f t="shared" si="24"/>
        <v>Teusaquillo</v>
      </c>
      <c r="P238" s="87" t="s">
        <v>665</v>
      </c>
      <c r="Q238" s="87"/>
      <c r="R238" s="87"/>
      <c r="S238" s="87"/>
      <c r="T238" s="87"/>
      <c r="U238" s="87"/>
      <c r="V238" s="90" t="str">
        <f t="shared" si="25"/>
        <v>Centro Ampliado</v>
      </c>
      <c r="W238" s="87" t="s">
        <v>415</v>
      </c>
      <c r="X238" s="87"/>
      <c r="Y238" s="87"/>
      <c r="Z238" s="87"/>
      <c r="AA238" s="87"/>
      <c r="AB238" s="87"/>
      <c r="AC238" s="90" t="str">
        <f t="shared" si="26"/>
        <v>Teusaquillo</v>
      </c>
      <c r="AD238" s="87" t="s">
        <v>665</v>
      </c>
      <c r="AE238" s="87"/>
      <c r="AF238" s="87"/>
      <c r="AG238" s="87"/>
      <c r="AH238" s="87"/>
      <c r="AI238" s="87"/>
      <c r="AJ238" s="87"/>
      <c r="AK238" s="87"/>
      <c r="AL238" s="87"/>
      <c r="AM238" s="87"/>
      <c r="AN238" s="90" t="s">
        <v>160</v>
      </c>
      <c r="AO238" s="90" t="s">
        <v>1219</v>
      </c>
      <c r="AP238" s="82"/>
      <c r="AQ238" s="87" t="s">
        <v>60</v>
      </c>
      <c r="AR238" s="87" t="s">
        <v>398</v>
      </c>
      <c r="AS238" s="82"/>
      <c r="AT238" s="87">
        <v>87</v>
      </c>
      <c r="AU238" s="87">
        <v>17</v>
      </c>
      <c r="AV238" s="87">
        <f>AT238+AU238</f>
        <v>104</v>
      </c>
      <c r="AW238" s="87" t="str">
        <f t="shared" ref="AW238:AW302" si="31">_xlfn.TEXTJOIN(", ",TRUE,$AX238:$AZ238)</f>
        <v>Accesibilidad Universal, Horarios Acordes, Contenidos adaptados</v>
      </c>
      <c r="AX238" s="87" t="s">
        <v>246</v>
      </c>
      <c r="AY238" s="87" t="s">
        <v>213</v>
      </c>
      <c r="AZ238" s="87" t="s">
        <v>212</v>
      </c>
      <c r="BA238" s="91" t="s">
        <v>878</v>
      </c>
      <c r="BB238" s="84"/>
      <c r="BC238" s="85"/>
      <c r="BD238" s="85"/>
    </row>
    <row r="239" spans="1:56" s="86" customFormat="1" ht="46.5" customHeight="1">
      <c r="A239" s="87">
        <v>234</v>
      </c>
      <c r="B239" s="79" t="s">
        <v>1220</v>
      </c>
      <c r="C239" s="88">
        <v>45388</v>
      </c>
      <c r="D239" s="89">
        <v>0.41666666666666669</v>
      </c>
      <c r="E239" s="87" t="s">
        <v>58</v>
      </c>
      <c r="F239" s="87" t="s">
        <v>61</v>
      </c>
      <c r="G239" s="87" t="s">
        <v>62</v>
      </c>
      <c r="H239" s="90" t="s">
        <v>1221</v>
      </c>
      <c r="I239" s="90" t="s">
        <v>172</v>
      </c>
      <c r="J239" s="87" t="s">
        <v>119</v>
      </c>
      <c r="K239" s="87" t="s">
        <v>610</v>
      </c>
      <c r="L239" s="90" t="s">
        <v>1222</v>
      </c>
      <c r="M239" s="91">
        <v>3013547532</v>
      </c>
      <c r="N239" s="90" t="s">
        <v>1223</v>
      </c>
      <c r="O239" s="90" t="str">
        <f t="shared" si="24"/>
        <v>Distrital</v>
      </c>
      <c r="P239" s="87" t="s">
        <v>73</v>
      </c>
      <c r="Q239" s="87"/>
      <c r="R239" s="87"/>
      <c r="S239" s="87"/>
      <c r="T239" s="87"/>
      <c r="U239" s="87"/>
      <c r="V239" s="90" t="str">
        <f t="shared" si="25"/>
        <v>Distrital</v>
      </c>
      <c r="W239" s="87" t="s">
        <v>73</v>
      </c>
      <c r="X239" s="87"/>
      <c r="Y239" s="87"/>
      <c r="Z239" s="87"/>
      <c r="AA239" s="87"/>
      <c r="AB239" s="87"/>
      <c r="AC239" s="90" t="str">
        <f t="shared" si="26"/>
        <v>Distrital</v>
      </c>
      <c r="AD239" s="87" t="s">
        <v>73</v>
      </c>
      <c r="AE239" s="87"/>
      <c r="AF239" s="87"/>
      <c r="AG239" s="87"/>
      <c r="AH239" s="87"/>
      <c r="AI239" s="87"/>
      <c r="AJ239" s="87"/>
      <c r="AK239" s="87"/>
      <c r="AL239" s="87"/>
      <c r="AM239" s="87"/>
      <c r="AN239" s="90" t="s">
        <v>160</v>
      </c>
      <c r="AO239" s="90" t="s">
        <v>647</v>
      </c>
      <c r="AP239" s="82"/>
      <c r="AQ239" s="87" t="s">
        <v>60</v>
      </c>
      <c r="AR239" s="87" t="s">
        <v>398</v>
      </c>
      <c r="AS239" s="82"/>
      <c r="AT239" s="87">
        <v>52</v>
      </c>
      <c r="AU239" s="87">
        <v>4</v>
      </c>
      <c r="AV239" s="87">
        <f t="shared" si="5"/>
        <v>56</v>
      </c>
      <c r="AW239" s="87" t="str">
        <f t="shared" si="31"/>
        <v>No Aplica</v>
      </c>
      <c r="AX239" s="87" t="s">
        <v>78</v>
      </c>
      <c r="AY239" s="87"/>
      <c r="AZ239" s="87"/>
      <c r="BA239" s="91" t="s">
        <v>1224</v>
      </c>
      <c r="BB239" s="84"/>
      <c r="BC239" s="85"/>
      <c r="BD239" s="85"/>
    </row>
    <row r="240" spans="1:56" s="86" customFormat="1" ht="46.5" customHeight="1">
      <c r="A240" s="78">
        <v>235</v>
      </c>
      <c r="B240" s="79" t="s">
        <v>1225</v>
      </c>
      <c r="C240" s="88">
        <v>45388</v>
      </c>
      <c r="D240" s="89">
        <v>0.375</v>
      </c>
      <c r="E240" s="87" t="s">
        <v>58</v>
      </c>
      <c r="F240" s="87" t="s">
        <v>61</v>
      </c>
      <c r="G240" s="87" t="s">
        <v>62</v>
      </c>
      <c r="H240" s="90" t="s">
        <v>392</v>
      </c>
      <c r="I240" s="90" t="s">
        <v>172</v>
      </c>
      <c r="J240" s="87" t="s">
        <v>173</v>
      </c>
      <c r="K240" s="87"/>
      <c r="L240" s="90" t="s">
        <v>72</v>
      </c>
      <c r="M240" s="90" t="s">
        <v>72</v>
      </c>
      <c r="N240" s="90" t="s">
        <v>72</v>
      </c>
      <c r="O240" s="90" t="str">
        <f t="shared" si="24"/>
        <v>Usme, Ciudad Bolívar</v>
      </c>
      <c r="P240" s="87" t="s">
        <v>670</v>
      </c>
      <c r="Q240" s="87" t="s">
        <v>107</v>
      </c>
      <c r="R240" s="87"/>
      <c r="S240" s="87"/>
      <c r="T240" s="87"/>
      <c r="U240" s="87"/>
      <c r="V240" s="90" t="str">
        <f t="shared" si="25"/>
        <v>Ruralidad</v>
      </c>
      <c r="W240" s="87" t="s">
        <v>109</v>
      </c>
      <c r="X240" s="87"/>
      <c r="Y240" s="87"/>
      <c r="Z240" s="87"/>
      <c r="AA240" s="87"/>
      <c r="AB240" s="87"/>
      <c r="AC240" s="90" t="str">
        <f t="shared" si="26"/>
        <v>Cuenca del Tunjuelo</v>
      </c>
      <c r="AD240" s="87" t="s">
        <v>112</v>
      </c>
      <c r="AE240" s="87"/>
      <c r="AF240" s="87"/>
      <c r="AG240" s="87"/>
      <c r="AH240" s="87"/>
      <c r="AI240" s="87"/>
      <c r="AJ240" s="87"/>
      <c r="AK240" s="87"/>
      <c r="AL240" s="87"/>
      <c r="AM240" s="87"/>
      <c r="AN240" s="90" t="s">
        <v>160</v>
      </c>
      <c r="AO240" s="90" t="s">
        <v>647</v>
      </c>
      <c r="AP240" s="82"/>
      <c r="AQ240" s="87" t="s">
        <v>60</v>
      </c>
      <c r="AR240" s="87" t="s">
        <v>398</v>
      </c>
      <c r="AS240" s="82"/>
      <c r="AT240" s="87">
        <v>52</v>
      </c>
      <c r="AU240" s="87">
        <v>13</v>
      </c>
      <c r="AV240" s="87">
        <f>AT240+AU240</f>
        <v>65</v>
      </c>
      <c r="AW240" s="87" t="str">
        <f t="shared" si="31"/>
        <v>Ninguna</v>
      </c>
      <c r="AX240" s="87" t="s">
        <v>75</v>
      </c>
      <c r="AY240" s="87"/>
      <c r="AZ240" s="87"/>
      <c r="BA240" s="91" t="s">
        <v>1226</v>
      </c>
      <c r="BB240" s="84"/>
      <c r="BC240" s="85"/>
      <c r="BD240" s="85"/>
    </row>
    <row r="241" spans="1:56" s="86" customFormat="1" ht="46.5" customHeight="1">
      <c r="A241" s="87">
        <v>236</v>
      </c>
      <c r="B241" s="79" t="s">
        <v>1227</v>
      </c>
      <c r="C241" s="88">
        <v>45388</v>
      </c>
      <c r="D241" s="89">
        <v>0.875</v>
      </c>
      <c r="E241" s="87" t="s">
        <v>58</v>
      </c>
      <c r="F241" s="87" t="s">
        <v>61</v>
      </c>
      <c r="G241" s="87" t="s">
        <v>62</v>
      </c>
      <c r="H241" s="90" t="s">
        <v>392</v>
      </c>
      <c r="I241" s="90" t="s">
        <v>193</v>
      </c>
      <c r="J241" s="87" t="s">
        <v>173</v>
      </c>
      <c r="K241" s="87"/>
      <c r="L241" s="90" t="s">
        <v>1228</v>
      </c>
      <c r="M241" s="90">
        <v>3105653173</v>
      </c>
      <c r="N241" s="90" t="s">
        <v>72</v>
      </c>
      <c r="O241" s="90" t="str">
        <f t="shared" si="24"/>
        <v>Chapinero</v>
      </c>
      <c r="P241" s="87" t="s">
        <v>221</v>
      </c>
      <c r="Q241" s="87"/>
      <c r="R241" s="87"/>
      <c r="S241" s="87"/>
      <c r="T241" s="87"/>
      <c r="U241" s="87"/>
      <c r="V241" s="90" t="str">
        <f t="shared" si="25"/>
        <v>Centro Ampliado</v>
      </c>
      <c r="W241" s="87" t="s">
        <v>415</v>
      </c>
      <c r="X241" s="87"/>
      <c r="Y241" s="87"/>
      <c r="Z241" s="87"/>
      <c r="AA241" s="87"/>
      <c r="AB241" s="87"/>
      <c r="AC241" s="90" t="str">
        <f t="shared" si="26"/>
        <v>Chapinero</v>
      </c>
      <c r="AD241" s="87" t="s">
        <v>221</v>
      </c>
      <c r="AE241" s="87"/>
      <c r="AF241" s="87"/>
      <c r="AG241" s="87"/>
      <c r="AH241" s="87"/>
      <c r="AI241" s="87"/>
      <c r="AJ241" s="87"/>
      <c r="AK241" s="87"/>
      <c r="AL241" s="87"/>
      <c r="AM241" s="87"/>
      <c r="AN241" s="90" t="s">
        <v>160</v>
      </c>
      <c r="AO241" s="90" t="s">
        <v>1229</v>
      </c>
      <c r="AP241" s="82"/>
      <c r="AQ241" s="87" t="s">
        <v>60</v>
      </c>
      <c r="AR241" s="87" t="s">
        <v>398</v>
      </c>
      <c r="AS241" s="82"/>
      <c r="AT241" s="87">
        <v>217</v>
      </c>
      <c r="AU241" s="87">
        <v>10</v>
      </c>
      <c r="AV241" s="87">
        <f>AT241+AU241</f>
        <v>227</v>
      </c>
      <c r="AW241" s="87" t="str">
        <f t="shared" si="31"/>
        <v>Horarios Acordes</v>
      </c>
      <c r="AX241" s="87" t="s">
        <v>213</v>
      </c>
      <c r="AY241" s="87"/>
      <c r="AZ241" s="87"/>
      <c r="BA241" s="91" t="s">
        <v>392</v>
      </c>
      <c r="BB241" s="84"/>
      <c r="BC241" s="85"/>
      <c r="BD241" s="85"/>
    </row>
    <row r="242" spans="1:56" s="86" customFormat="1" ht="46.5" customHeight="1">
      <c r="A242" s="78">
        <v>237</v>
      </c>
      <c r="B242" s="79" t="s">
        <v>1230</v>
      </c>
      <c r="C242" s="88">
        <v>45388</v>
      </c>
      <c r="D242" s="89">
        <v>0.77083333333333337</v>
      </c>
      <c r="E242" s="87" t="s">
        <v>58</v>
      </c>
      <c r="F242" s="87" t="s">
        <v>61</v>
      </c>
      <c r="G242" s="87" t="s">
        <v>95</v>
      </c>
      <c r="H242" s="90" t="s">
        <v>1231</v>
      </c>
      <c r="I242" s="90" t="s">
        <v>172</v>
      </c>
      <c r="J242" s="87" t="s">
        <v>119</v>
      </c>
      <c r="K242" s="87" t="s">
        <v>217</v>
      </c>
      <c r="L242" s="90"/>
      <c r="M242" s="90"/>
      <c r="N242" s="90"/>
      <c r="O242" s="90" t="str">
        <f t="shared" si="24"/>
        <v>Usaquén</v>
      </c>
      <c r="P242" s="87" t="s">
        <v>428</v>
      </c>
      <c r="Q242" s="87"/>
      <c r="R242" s="87"/>
      <c r="S242" s="87"/>
      <c r="T242" s="87"/>
      <c r="U242" s="87"/>
      <c r="V242" s="90" t="str">
        <f t="shared" si="25"/>
        <v>Norte, Ruralidad</v>
      </c>
      <c r="W242" s="87" t="s">
        <v>429</v>
      </c>
      <c r="X242" s="87" t="s">
        <v>109</v>
      </c>
      <c r="Y242" s="87"/>
      <c r="Z242" s="87"/>
      <c r="AA242" s="87"/>
      <c r="AB242" s="87"/>
      <c r="AC242" s="90" t="str">
        <f t="shared" si="26"/>
        <v>Usaquén, Toberín, Cerros Orientales</v>
      </c>
      <c r="AD242" s="87" t="s">
        <v>428</v>
      </c>
      <c r="AE242" s="87" t="s">
        <v>527</v>
      </c>
      <c r="AF242" s="87" t="s">
        <v>222</v>
      </c>
      <c r="AG242" s="87"/>
      <c r="AH242" s="87"/>
      <c r="AI242" s="87"/>
      <c r="AJ242" s="87"/>
      <c r="AK242" s="87"/>
      <c r="AL242" s="87"/>
      <c r="AM242" s="87"/>
      <c r="AN242" s="90" t="s">
        <v>160</v>
      </c>
      <c r="AO242" s="92" t="s">
        <v>1232</v>
      </c>
      <c r="AP242" s="82"/>
      <c r="AQ242" s="87" t="s">
        <v>60</v>
      </c>
      <c r="AR242" s="87" t="s">
        <v>398</v>
      </c>
      <c r="AS242" s="82"/>
      <c r="AT242" s="87">
        <v>9</v>
      </c>
      <c r="AU242" s="87">
        <v>2</v>
      </c>
      <c r="AV242" s="87">
        <f t="shared" si="5"/>
        <v>11</v>
      </c>
      <c r="AW242" s="87" t="str">
        <f t="shared" si="31"/>
        <v>Horarios Acordes</v>
      </c>
      <c r="AX242" s="87" t="s">
        <v>213</v>
      </c>
      <c r="AY242" s="87"/>
      <c r="AZ242" s="87"/>
      <c r="BA242" s="91" t="s">
        <v>1233</v>
      </c>
      <c r="BB242" s="84"/>
      <c r="BC242" s="85"/>
      <c r="BD242" s="85"/>
    </row>
    <row r="243" spans="1:56" s="86" customFormat="1" ht="46.5" customHeight="1">
      <c r="A243" s="87">
        <v>238</v>
      </c>
      <c r="B243" s="79" t="s">
        <v>1234</v>
      </c>
      <c r="C243" s="88">
        <v>45389</v>
      </c>
      <c r="D243" s="89">
        <v>0.375</v>
      </c>
      <c r="E243" s="87" t="s">
        <v>58</v>
      </c>
      <c r="F243" s="87" t="s">
        <v>61</v>
      </c>
      <c r="G243" s="87" t="s">
        <v>62</v>
      </c>
      <c r="H243" s="90" t="s">
        <v>878</v>
      </c>
      <c r="I243" s="90" t="s">
        <v>172</v>
      </c>
      <c r="J243" s="87" t="s">
        <v>173</v>
      </c>
      <c r="K243" s="87"/>
      <c r="L243" s="90" t="s">
        <v>1235</v>
      </c>
      <c r="M243" s="90">
        <v>3124783871</v>
      </c>
      <c r="N243" s="90" t="s">
        <v>72</v>
      </c>
      <c r="O243" s="90" t="str">
        <f t="shared" si="24"/>
        <v>Usaquén</v>
      </c>
      <c r="P243" s="87" t="s">
        <v>428</v>
      </c>
      <c r="Q243" s="87"/>
      <c r="R243" s="87"/>
      <c r="S243" s="87"/>
      <c r="T243" s="87"/>
      <c r="U243" s="87"/>
      <c r="V243" s="90" t="str">
        <f t="shared" si="25"/>
        <v>Ruralidad</v>
      </c>
      <c r="W243" s="87" t="s">
        <v>109</v>
      </c>
      <c r="X243" s="87"/>
      <c r="Y243" s="87"/>
      <c r="Z243" s="87"/>
      <c r="AA243" s="87"/>
      <c r="AB243" s="87"/>
      <c r="AC243" s="90" t="str">
        <f t="shared" si="26"/>
        <v>Cerros Orientales</v>
      </c>
      <c r="AD243" s="87" t="s">
        <v>222</v>
      </c>
      <c r="AE243" s="87"/>
      <c r="AF243" s="87"/>
      <c r="AG243" s="87"/>
      <c r="AH243" s="87"/>
      <c r="AI243" s="87"/>
      <c r="AJ243" s="87"/>
      <c r="AK243" s="87"/>
      <c r="AL243" s="87"/>
      <c r="AM243" s="87"/>
      <c r="AN243" s="90" t="s">
        <v>1236</v>
      </c>
      <c r="AO243" s="90" t="s">
        <v>1237</v>
      </c>
      <c r="AP243" s="82"/>
      <c r="AQ243" s="87" t="s">
        <v>60</v>
      </c>
      <c r="AR243" s="87" t="s">
        <v>398</v>
      </c>
      <c r="AS243" s="82"/>
      <c r="AT243" s="87">
        <v>20</v>
      </c>
      <c r="AU243" s="87">
        <v>9</v>
      </c>
      <c r="AV243" s="87">
        <f t="shared" si="5"/>
        <v>29</v>
      </c>
      <c r="AW243" s="87" t="str">
        <f t="shared" si="31"/>
        <v>Horarios Acordes</v>
      </c>
      <c r="AX243" s="87" t="s">
        <v>213</v>
      </c>
      <c r="AY243" s="87"/>
      <c r="AZ243" s="87"/>
      <c r="BA243" s="91" t="s">
        <v>1238</v>
      </c>
      <c r="BB243" s="84"/>
      <c r="BC243" s="85"/>
      <c r="BD243" s="85"/>
    </row>
    <row r="244" spans="1:56" s="86" customFormat="1" ht="46.5" customHeight="1">
      <c r="A244" s="78">
        <v>239</v>
      </c>
      <c r="B244" s="79" t="s">
        <v>1239</v>
      </c>
      <c r="C244" s="88">
        <v>45389</v>
      </c>
      <c r="D244" s="89">
        <v>0.375</v>
      </c>
      <c r="E244" s="87" t="s">
        <v>58</v>
      </c>
      <c r="F244" s="87" t="s">
        <v>61</v>
      </c>
      <c r="G244" s="87" t="s">
        <v>62</v>
      </c>
      <c r="H244" s="90" t="s">
        <v>878</v>
      </c>
      <c r="I244" s="90" t="s">
        <v>172</v>
      </c>
      <c r="J244" s="87" t="s">
        <v>173</v>
      </c>
      <c r="K244" s="87"/>
      <c r="L244" s="90" t="s">
        <v>1240</v>
      </c>
      <c r="M244" s="90">
        <v>3142993840</v>
      </c>
      <c r="N244" s="90" t="s">
        <v>72</v>
      </c>
      <c r="O244" s="90" t="str">
        <f t="shared" si="24"/>
        <v>San Cristóbal</v>
      </c>
      <c r="P244" s="87" t="s">
        <v>370</v>
      </c>
      <c r="Q244" s="87"/>
      <c r="R244" s="87"/>
      <c r="S244" s="87"/>
      <c r="T244" s="87"/>
      <c r="U244" s="87"/>
      <c r="V244" s="90" t="str">
        <f t="shared" si="25"/>
        <v>Ruralidad</v>
      </c>
      <c r="W244" s="87" t="s">
        <v>109</v>
      </c>
      <c r="X244" s="87"/>
      <c r="Y244" s="87"/>
      <c r="Z244" s="87"/>
      <c r="AA244" s="87"/>
      <c r="AB244" s="87"/>
      <c r="AC244" s="90" t="str">
        <f t="shared" si="26"/>
        <v>Cerros Orientales</v>
      </c>
      <c r="AD244" s="87" t="s">
        <v>222</v>
      </c>
      <c r="AE244" s="87"/>
      <c r="AF244" s="87"/>
      <c r="AG244" s="87"/>
      <c r="AH244" s="87"/>
      <c r="AI244" s="87"/>
      <c r="AJ244" s="87"/>
      <c r="AK244" s="87"/>
      <c r="AL244" s="87"/>
      <c r="AM244" s="87"/>
      <c r="AN244" s="90" t="s">
        <v>1241</v>
      </c>
      <c r="AO244" s="90" t="s">
        <v>1242</v>
      </c>
      <c r="AP244" s="82"/>
      <c r="AQ244" s="87" t="s">
        <v>60</v>
      </c>
      <c r="AR244" s="87" t="s">
        <v>398</v>
      </c>
      <c r="AS244" s="82"/>
      <c r="AT244" s="87">
        <v>36</v>
      </c>
      <c r="AU244" s="87">
        <v>8</v>
      </c>
      <c r="AV244" s="87">
        <f t="shared" si="5"/>
        <v>44</v>
      </c>
      <c r="AW244" s="87" t="str">
        <f t="shared" si="31"/>
        <v>Horarios Acordes, Contenidos adaptados</v>
      </c>
      <c r="AX244" s="87" t="s">
        <v>213</v>
      </c>
      <c r="AY244" s="87" t="s">
        <v>212</v>
      </c>
      <c r="AZ244" s="87"/>
      <c r="BA244" s="91" t="s">
        <v>1243</v>
      </c>
      <c r="BB244" s="84"/>
      <c r="BC244" s="85"/>
      <c r="BD244" s="85"/>
    </row>
    <row r="245" spans="1:56" s="86" customFormat="1" ht="46.5" customHeight="1">
      <c r="A245" s="87">
        <v>240</v>
      </c>
      <c r="B245" s="79" t="s">
        <v>1244</v>
      </c>
      <c r="C245" s="88">
        <v>45389</v>
      </c>
      <c r="D245" s="89">
        <v>0.54166666666666663</v>
      </c>
      <c r="E245" s="87" t="s">
        <v>58</v>
      </c>
      <c r="F245" s="87" t="s">
        <v>61</v>
      </c>
      <c r="G245" s="87" t="s">
        <v>62</v>
      </c>
      <c r="H245" s="90" t="s">
        <v>392</v>
      </c>
      <c r="I245" s="90" t="s">
        <v>193</v>
      </c>
      <c r="J245" s="87" t="s">
        <v>173</v>
      </c>
      <c r="K245" s="87"/>
      <c r="L245" s="90" t="s">
        <v>72</v>
      </c>
      <c r="M245" s="90" t="s">
        <v>72</v>
      </c>
      <c r="N245" s="90" t="s">
        <v>72</v>
      </c>
      <c r="O245" s="90" t="str">
        <f t="shared" si="24"/>
        <v>Teusaquillo</v>
      </c>
      <c r="P245" s="87" t="s">
        <v>665</v>
      </c>
      <c r="Q245" s="87"/>
      <c r="R245" s="87"/>
      <c r="S245" s="87"/>
      <c r="T245" s="87"/>
      <c r="U245" s="87"/>
      <c r="V245" s="90" t="str">
        <f t="shared" si="25"/>
        <v>Centro Ampliado</v>
      </c>
      <c r="W245" s="87" t="s">
        <v>415</v>
      </c>
      <c r="X245" s="87"/>
      <c r="Y245" s="87"/>
      <c r="Z245" s="87"/>
      <c r="AA245" s="87"/>
      <c r="AB245" s="87"/>
      <c r="AC245" s="90" t="str">
        <f t="shared" si="26"/>
        <v>Teusaquillo</v>
      </c>
      <c r="AD245" s="87" t="s">
        <v>665</v>
      </c>
      <c r="AE245" s="87"/>
      <c r="AF245" s="87"/>
      <c r="AG245" s="87"/>
      <c r="AH245" s="87"/>
      <c r="AI245" s="87"/>
      <c r="AJ245" s="87"/>
      <c r="AK245" s="87"/>
      <c r="AL245" s="87"/>
      <c r="AM245" s="87"/>
      <c r="AN245" s="90" t="s">
        <v>1245</v>
      </c>
      <c r="AO245" s="90" t="s">
        <v>1246</v>
      </c>
      <c r="AP245" s="82"/>
      <c r="AQ245" s="87" t="s">
        <v>60</v>
      </c>
      <c r="AR245" s="87" t="s">
        <v>398</v>
      </c>
      <c r="AS245" s="82"/>
      <c r="AT245" s="87">
        <v>45</v>
      </c>
      <c r="AU245" s="87">
        <v>8</v>
      </c>
      <c r="AV245" s="87">
        <f t="shared" si="5"/>
        <v>53</v>
      </c>
      <c r="AW245" s="87" t="str">
        <f t="shared" si="31"/>
        <v>Accesibilidad Universal, Horarios Acordes</v>
      </c>
      <c r="AX245" s="87" t="s">
        <v>246</v>
      </c>
      <c r="AY245" s="87" t="s">
        <v>213</v>
      </c>
      <c r="AZ245" s="87"/>
      <c r="BA245" s="91" t="s">
        <v>392</v>
      </c>
      <c r="BB245" s="84"/>
      <c r="BC245" s="85"/>
      <c r="BD245" s="85"/>
    </row>
    <row r="246" spans="1:56" s="86" customFormat="1" ht="46.5" customHeight="1">
      <c r="A246" s="78">
        <v>241</v>
      </c>
      <c r="B246" s="79" t="s">
        <v>1247</v>
      </c>
      <c r="C246" s="88">
        <v>45390</v>
      </c>
      <c r="D246" s="89">
        <v>0.33333333333333331</v>
      </c>
      <c r="E246" s="87" t="s">
        <v>58</v>
      </c>
      <c r="F246" s="87" t="s">
        <v>61</v>
      </c>
      <c r="G246" s="87" t="s">
        <v>62</v>
      </c>
      <c r="H246" s="90" t="s">
        <v>1248</v>
      </c>
      <c r="I246" s="90" t="s">
        <v>172</v>
      </c>
      <c r="J246" s="87" t="s">
        <v>173</v>
      </c>
      <c r="K246" s="87"/>
      <c r="L246" s="90" t="s">
        <v>1170</v>
      </c>
      <c r="M246" s="90" t="s">
        <v>1171</v>
      </c>
      <c r="N246" s="90" t="s">
        <v>1172</v>
      </c>
      <c r="O246" s="90" t="str">
        <f t="shared" si="24"/>
        <v>Distrital</v>
      </c>
      <c r="P246" s="87" t="s">
        <v>73</v>
      </c>
      <c r="Q246" s="87"/>
      <c r="R246" s="87"/>
      <c r="S246" s="87"/>
      <c r="T246" s="87"/>
      <c r="U246" s="87"/>
      <c r="V246" s="90" t="str">
        <f t="shared" si="25"/>
        <v>Distrital</v>
      </c>
      <c r="W246" s="87" t="s">
        <v>73</v>
      </c>
      <c r="X246" s="87"/>
      <c r="Y246" s="87"/>
      <c r="Z246" s="87"/>
      <c r="AA246" s="87"/>
      <c r="AB246" s="87"/>
      <c r="AC246" s="90" t="str">
        <f t="shared" si="26"/>
        <v>Distrital</v>
      </c>
      <c r="AD246" s="87" t="s">
        <v>73</v>
      </c>
      <c r="AE246" s="87"/>
      <c r="AF246" s="87"/>
      <c r="AG246" s="87"/>
      <c r="AH246" s="87"/>
      <c r="AI246" s="87"/>
      <c r="AJ246" s="87"/>
      <c r="AK246" s="87"/>
      <c r="AL246" s="87"/>
      <c r="AM246" s="87"/>
      <c r="AN246" s="90" t="s">
        <v>160</v>
      </c>
      <c r="AO246" s="90" t="s">
        <v>1249</v>
      </c>
      <c r="AP246" s="82"/>
      <c r="AQ246" s="87" t="s">
        <v>60</v>
      </c>
      <c r="AR246" s="87" t="s">
        <v>398</v>
      </c>
      <c r="AS246" s="82"/>
      <c r="AT246" s="87">
        <v>10</v>
      </c>
      <c r="AU246" s="87">
        <v>5</v>
      </c>
      <c r="AV246" s="87">
        <f t="shared" si="5"/>
        <v>15</v>
      </c>
      <c r="AW246" s="87" t="str">
        <f t="shared" si="31"/>
        <v>Ninguna</v>
      </c>
      <c r="AX246" s="87" t="s">
        <v>75</v>
      </c>
      <c r="AY246" s="87"/>
      <c r="AZ246" s="87"/>
      <c r="BA246" s="91" t="s">
        <v>1250</v>
      </c>
      <c r="BB246" s="84"/>
      <c r="BC246" s="85"/>
      <c r="BD246" s="85"/>
    </row>
    <row r="247" spans="1:56" s="86" customFormat="1" ht="46.5" customHeight="1">
      <c r="A247" s="87">
        <v>242</v>
      </c>
      <c r="B247" s="79" t="s">
        <v>1251</v>
      </c>
      <c r="C247" s="88">
        <v>45390</v>
      </c>
      <c r="D247" s="89">
        <v>0.33333333333333331</v>
      </c>
      <c r="E247" s="87" t="s">
        <v>58</v>
      </c>
      <c r="F247" s="87" t="s">
        <v>135</v>
      </c>
      <c r="G247" s="87" t="s">
        <v>95</v>
      </c>
      <c r="H247" s="90" t="s">
        <v>1252</v>
      </c>
      <c r="I247" s="90" t="s">
        <v>188</v>
      </c>
      <c r="J247" s="87" t="s">
        <v>70</v>
      </c>
      <c r="K247" s="87" t="s">
        <v>71</v>
      </c>
      <c r="L247" s="90" t="s">
        <v>289</v>
      </c>
      <c r="M247" s="90" t="s">
        <v>290</v>
      </c>
      <c r="N247" s="90" t="s">
        <v>291</v>
      </c>
      <c r="O247" s="90" t="str">
        <f t="shared" si="24"/>
        <v>Distrital</v>
      </c>
      <c r="P247" s="87" t="s">
        <v>73</v>
      </c>
      <c r="Q247" s="87"/>
      <c r="R247" s="87"/>
      <c r="S247" s="87"/>
      <c r="T247" s="87"/>
      <c r="U247" s="87"/>
      <c r="V247" s="90" t="str">
        <f t="shared" si="25"/>
        <v>Distrital</v>
      </c>
      <c r="W247" s="87" t="s">
        <v>73</v>
      </c>
      <c r="X247" s="87"/>
      <c r="Y247" s="87"/>
      <c r="Z247" s="87"/>
      <c r="AA247" s="87"/>
      <c r="AB247" s="87"/>
      <c r="AC247" s="90" t="str">
        <f t="shared" si="26"/>
        <v>Distrital</v>
      </c>
      <c r="AD247" s="87" t="s">
        <v>73</v>
      </c>
      <c r="AE247" s="87"/>
      <c r="AF247" s="87"/>
      <c r="AG247" s="87"/>
      <c r="AH247" s="87"/>
      <c r="AI247" s="87"/>
      <c r="AJ247" s="87"/>
      <c r="AK247" s="87"/>
      <c r="AL247" s="87"/>
      <c r="AM247" s="87"/>
      <c r="AN247" s="90" t="s">
        <v>160</v>
      </c>
      <c r="AO247" s="92" t="s">
        <v>1253</v>
      </c>
      <c r="AP247" s="82"/>
      <c r="AQ247" s="87" t="s">
        <v>59</v>
      </c>
      <c r="AR247" s="87" t="s">
        <v>80</v>
      </c>
      <c r="AS247" s="82"/>
      <c r="AT247" s="87">
        <v>0</v>
      </c>
      <c r="AU247" s="87">
        <v>4</v>
      </c>
      <c r="AV247" s="87">
        <f t="shared" si="5"/>
        <v>4</v>
      </c>
      <c r="AW247" s="87" t="str">
        <f t="shared" si="31"/>
        <v>No Aplica</v>
      </c>
      <c r="AX247" s="87" t="s">
        <v>78</v>
      </c>
      <c r="AY247" s="87"/>
      <c r="AZ247" s="87"/>
      <c r="BA247" s="91" t="s">
        <v>1254</v>
      </c>
      <c r="BB247" s="84"/>
      <c r="BC247" s="85"/>
      <c r="BD247" s="85"/>
    </row>
    <row r="248" spans="1:56" s="86" customFormat="1" ht="46.5" customHeight="1">
      <c r="A248" s="78">
        <v>243</v>
      </c>
      <c r="B248" s="79" t="s">
        <v>1255</v>
      </c>
      <c r="C248" s="88">
        <v>45390</v>
      </c>
      <c r="D248" s="89">
        <v>0.375</v>
      </c>
      <c r="E248" s="87" t="s">
        <v>58</v>
      </c>
      <c r="F248" s="87" t="s">
        <v>61</v>
      </c>
      <c r="G248" s="87" t="s">
        <v>62</v>
      </c>
      <c r="H248" s="90" t="s">
        <v>392</v>
      </c>
      <c r="I248" s="90" t="s">
        <v>193</v>
      </c>
      <c r="J248" s="87" t="s">
        <v>173</v>
      </c>
      <c r="K248" s="87"/>
      <c r="L248" s="90" t="s">
        <v>1256</v>
      </c>
      <c r="M248" s="90">
        <v>3176983081</v>
      </c>
      <c r="N248" s="90" t="s">
        <v>72</v>
      </c>
      <c r="O248" s="90" t="str">
        <f t="shared" si="24"/>
        <v>Teusaquillo</v>
      </c>
      <c r="P248" s="87" t="s">
        <v>665</v>
      </c>
      <c r="Q248" s="87"/>
      <c r="R248" s="87"/>
      <c r="S248" s="87"/>
      <c r="T248" s="87"/>
      <c r="U248" s="87"/>
      <c r="V248" s="90" t="str">
        <f t="shared" si="25"/>
        <v>Centro Ampliado</v>
      </c>
      <c r="W248" s="87" t="s">
        <v>415</v>
      </c>
      <c r="X248" s="87"/>
      <c r="Y248" s="87"/>
      <c r="Z248" s="87"/>
      <c r="AA248" s="87"/>
      <c r="AB248" s="87"/>
      <c r="AC248" s="90" t="str">
        <f t="shared" si="26"/>
        <v>Teusaquillo</v>
      </c>
      <c r="AD248" s="87" t="s">
        <v>665</v>
      </c>
      <c r="AE248" s="87"/>
      <c r="AF248" s="87"/>
      <c r="AG248" s="87"/>
      <c r="AH248" s="87"/>
      <c r="AI248" s="87"/>
      <c r="AJ248" s="87"/>
      <c r="AK248" s="87"/>
      <c r="AL248" s="87"/>
      <c r="AM248" s="87"/>
      <c r="AN248" s="90" t="s">
        <v>160</v>
      </c>
      <c r="AO248" s="90" t="s">
        <v>1257</v>
      </c>
      <c r="AP248" s="82"/>
      <c r="AQ248" s="87" t="s">
        <v>60</v>
      </c>
      <c r="AR248" s="87" t="s">
        <v>398</v>
      </c>
      <c r="AS248" s="82"/>
      <c r="AT248" s="87">
        <v>74</v>
      </c>
      <c r="AU248" s="87">
        <v>10</v>
      </c>
      <c r="AV248" s="87">
        <f t="shared" si="5"/>
        <v>84</v>
      </c>
      <c r="AW248" s="87" t="str">
        <f t="shared" si="31"/>
        <v>No Aplica</v>
      </c>
      <c r="AX248" s="87" t="s">
        <v>78</v>
      </c>
      <c r="AY248" s="87"/>
      <c r="AZ248" s="87"/>
      <c r="BA248" s="91" t="s">
        <v>1258</v>
      </c>
      <c r="BB248" s="84"/>
      <c r="BC248" s="85"/>
      <c r="BD248" s="85"/>
    </row>
    <row r="249" spans="1:56" s="86" customFormat="1" ht="46.5" customHeight="1">
      <c r="A249" s="87">
        <v>244</v>
      </c>
      <c r="B249" s="79" t="s">
        <v>1259</v>
      </c>
      <c r="C249" s="88">
        <v>45390</v>
      </c>
      <c r="D249" s="89">
        <v>0.375</v>
      </c>
      <c r="E249" s="87" t="s">
        <v>58</v>
      </c>
      <c r="F249" s="87" t="s">
        <v>61</v>
      </c>
      <c r="G249" s="87" t="s">
        <v>62</v>
      </c>
      <c r="H249" s="90" t="s">
        <v>1260</v>
      </c>
      <c r="I249" s="90" t="s">
        <v>172</v>
      </c>
      <c r="J249" s="87" t="s">
        <v>119</v>
      </c>
      <c r="K249" s="87"/>
      <c r="L249" s="90" t="s">
        <v>1261</v>
      </c>
      <c r="M249" s="91" t="s">
        <v>1262</v>
      </c>
      <c r="N249" s="90" t="s">
        <v>1263</v>
      </c>
      <c r="O249" s="90" t="str">
        <f t="shared" si="24"/>
        <v>Distrital</v>
      </c>
      <c r="P249" s="87" t="s">
        <v>73</v>
      </c>
      <c r="Q249" s="87"/>
      <c r="R249" s="87"/>
      <c r="S249" s="87"/>
      <c r="T249" s="87"/>
      <c r="U249" s="87"/>
      <c r="V249" s="90" t="str">
        <f t="shared" si="25"/>
        <v>Distrital</v>
      </c>
      <c r="W249" s="87" t="s">
        <v>73</v>
      </c>
      <c r="X249" s="87"/>
      <c r="Y249" s="87"/>
      <c r="Z249" s="87"/>
      <c r="AA249" s="87"/>
      <c r="AB249" s="87"/>
      <c r="AC249" s="90" t="str">
        <f t="shared" si="26"/>
        <v>Distrital</v>
      </c>
      <c r="AD249" s="87" t="s">
        <v>73</v>
      </c>
      <c r="AE249" s="87"/>
      <c r="AF249" s="87"/>
      <c r="AG249" s="87"/>
      <c r="AH249" s="87"/>
      <c r="AI249" s="87"/>
      <c r="AJ249" s="87"/>
      <c r="AK249" s="87"/>
      <c r="AL249" s="87"/>
      <c r="AM249" s="87"/>
      <c r="AN249" s="90" t="s">
        <v>160</v>
      </c>
      <c r="AO249" s="90" t="s">
        <v>1264</v>
      </c>
      <c r="AP249" s="82"/>
      <c r="AQ249" s="87" t="s">
        <v>60</v>
      </c>
      <c r="AR249" s="87" t="s">
        <v>398</v>
      </c>
      <c r="AS249" s="82"/>
      <c r="AT249" s="87">
        <v>15</v>
      </c>
      <c r="AU249" s="87">
        <v>1</v>
      </c>
      <c r="AV249" s="87">
        <f t="shared" si="5"/>
        <v>16</v>
      </c>
      <c r="AW249" s="87" t="str">
        <f t="shared" si="31"/>
        <v>Horarios Acordes</v>
      </c>
      <c r="AX249" s="87" t="s">
        <v>213</v>
      </c>
      <c r="AY249" s="87"/>
      <c r="AZ249" s="87"/>
      <c r="BA249" s="91" t="s">
        <v>1265</v>
      </c>
      <c r="BB249" s="84"/>
      <c r="BC249" s="85"/>
      <c r="BD249" s="85"/>
    </row>
    <row r="250" spans="1:56" s="86" customFormat="1" ht="46.5" customHeight="1">
      <c r="A250" s="78">
        <v>245</v>
      </c>
      <c r="B250" s="79" t="s">
        <v>1266</v>
      </c>
      <c r="C250" s="88">
        <v>45390</v>
      </c>
      <c r="D250" s="89">
        <v>0.58333333333333337</v>
      </c>
      <c r="E250" s="87" t="s">
        <v>58</v>
      </c>
      <c r="F250" s="87" t="s">
        <v>61</v>
      </c>
      <c r="G250" s="87" t="s">
        <v>62</v>
      </c>
      <c r="H250" s="90" t="s">
        <v>1267</v>
      </c>
      <c r="I250" s="90" t="s">
        <v>188</v>
      </c>
      <c r="J250" s="87" t="s">
        <v>70</v>
      </c>
      <c r="K250" s="87"/>
      <c r="L250" s="90" t="s">
        <v>546</v>
      </c>
      <c r="M250" s="91">
        <v>3204288455</v>
      </c>
      <c r="N250" s="90" t="s">
        <v>547</v>
      </c>
      <c r="O250" s="90" t="str">
        <f t="shared" si="24"/>
        <v>Distrital</v>
      </c>
      <c r="P250" s="87" t="s">
        <v>73</v>
      </c>
      <c r="Q250" s="87"/>
      <c r="R250" s="87"/>
      <c r="S250" s="87"/>
      <c r="T250" s="87"/>
      <c r="U250" s="87"/>
      <c r="V250" s="90" t="str">
        <f t="shared" si="25"/>
        <v>Distrital</v>
      </c>
      <c r="W250" s="87" t="s">
        <v>73</v>
      </c>
      <c r="X250" s="87"/>
      <c r="Y250" s="87"/>
      <c r="Z250" s="87"/>
      <c r="AA250" s="87"/>
      <c r="AB250" s="87"/>
      <c r="AC250" s="90" t="str">
        <f t="shared" si="26"/>
        <v>Distrital</v>
      </c>
      <c r="AD250" s="87" t="s">
        <v>73</v>
      </c>
      <c r="AE250" s="87"/>
      <c r="AF250" s="87"/>
      <c r="AG250" s="87"/>
      <c r="AH250" s="87"/>
      <c r="AI250" s="87"/>
      <c r="AJ250" s="87"/>
      <c r="AK250" s="87"/>
      <c r="AL250" s="87"/>
      <c r="AM250" s="87"/>
      <c r="AN250" s="90" t="s">
        <v>160</v>
      </c>
      <c r="AO250" s="90" t="s">
        <v>1268</v>
      </c>
      <c r="AP250" s="82"/>
      <c r="AQ250" s="87" t="s">
        <v>60</v>
      </c>
      <c r="AR250" s="87" t="s">
        <v>77</v>
      </c>
      <c r="AS250" s="82"/>
      <c r="AT250" s="87">
        <v>5</v>
      </c>
      <c r="AU250" s="87">
        <v>3</v>
      </c>
      <c r="AV250" s="87">
        <f t="shared" si="5"/>
        <v>8</v>
      </c>
      <c r="AW250" s="87" t="str">
        <f t="shared" si="31"/>
        <v>No Aplica</v>
      </c>
      <c r="AX250" s="87" t="s">
        <v>78</v>
      </c>
      <c r="AY250" s="87"/>
      <c r="AZ250" s="87"/>
      <c r="BA250" s="91" t="s">
        <v>1269</v>
      </c>
      <c r="BB250" s="84"/>
      <c r="BC250" s="85"/>
      <c r="BD250" s="85"/>
    </row>
    <row r="251" spans="1:56" s="86" customFormat="1" ht="46.5" customHeight="1">
      <c r="A251" s="87">
        <v>246</v>
      </c>
      <c r="B251" s="79" t="s">
        <v>1270</v>
      </c>
      <c r="C251" s="88">
        <v>45390</v>
      </c>
      <c r="D251" s="89">
        <v>0.66666666666666663</v>
      </c>
      <c r="E251" s="87" t="s">
        <v>58</v>
      </c>
      <c r="F251" s="87" t="s">
        <v>61</v>
      </c>
      <c r="G251" s="87" t="s">
        <v>95</v>
      </c>
      <c r="H251" s="90" t="s">
        <v>1271</v>
      </c>
      <c r="I251" s="90" t="s">
        <v>64</v>
      </c>
      <c r="J251" s="87" t="s">
        <v>119</v>
      </c>
      <c r="K251" s="87" t="s">
        <v>209</v>
      </c>
      <c r="L251" s="90" t="s">
        <v>1272</v>
      </c>
      <c r="M251" s="90">
        <v>3188153382</v>
      </c>
      <c r="N251" s="90" t="s">
        <v>1273</v>
      </c>
      <c r="O251" s="90" t="str">
        <f t="shared" si="24"/>
        <v>Distrital</v>
      </c>
      <c r="P251" s="87" t="s">
        <v>73</v>
      </c>
      <c r="Q251" s="87"/>
      <c r="R251" s="87"/>
      <c r="S251" s="87"/>
      <c r="T251" s="87"/>
      <c r="U251" s="87"/>
      <c r="V251" s="90" t="str">
        <f t="shared" si="25"/>
        <v>Distrital</v>
      </c>
      <c r="W251" s="87" t="s">
        <v>73</v>
      </c>
      <c r="X251" s="87"/>
      <c r="Y251" s="87"/>
      <c r="Z251" s="87"/>
      <c r="AA251" s="87"/>
      <c r="AB251" s="87"/>
      <c r="AC251" s="90" t="str">
        <f t="shared" si="26"/>
        <v>Distrital</v>
      </c>
      <c r="AD251" s="87" t="s">
        <v>73</v>
      </c>
      <c r="AE251" s="87"/>
      <c r="AF251" s="87"/>
      <c r="AG251" s="87"/>
      <c r="AH251" s="87"/>
      <c r="AI251" s="87"/>
      <c r="AJ251" s="87"/>
      <c r="AK251" s="87"/>
      <c r="AL251" s="87"/>
      <c r="AM251" s="87"/>
      <c r="AN251" s="90" t="s">
        <v>160</v>
      </c>
      <c r="AO251" s="92" t="s">
        <v>1131</v>
      </c>
      <c r="AP251" s="82"/>
      <c r="AQ251" s="87" t="s">
        <v>60</v>
      </c>
      <c r="AR251" s="87" t="s">
        <v>77</v>
      </c>
      <c r="AS251" s="82"/>
      <c r="AT251" s="87">
        <v>190</v>
      </c>
      <c r="AU251" s="87">
        <v>6</v>
      </c>
      <c r="AV251" s="87">
        <f t="shared" si="5"/>
        <v>196</v>
      </c>
      <c r="AW251" s="87" t="str">
        <f t="shared" si="31"/>
        <v>No Aplica</v>
      </c>
      <c r="AX251" s="87" t="s">
        <v>78</v>
      </c>
      <c r="AY251" s="87"/>
      <c r="AZ251" s="87"/>
      <c r="BA251" s="91" t="s">
        <v>1274</v>
      </c>
      <c r="BB251" s="84"/>
      <c r="BC251" s="85"/>
      <c r="BD251" s="85"/>
    </row>
    <row r="252" spans="1:56" s="86" customFormat="1" ht="46.5" customHeight="1">
      <c r="A252" s="78">
        <v>247</v>
      </c>
      <c r="B252" s="79" t="s">
        <v>1275</v>
      </c>
      <c r="C252" s="88">
        <v>45390</v>
      </c>
      <c r="D252" s="89">
        <v>0.70833333333333337</v>
      </c>
      <c r="E252" s="87" t="s">
        <v>58</v>
      </c>
      <c r="F252" s="87" t="s">
        <v>61</v>
      </c>
      <c r="G252" s="87" t="s">
        <v>62</v>
      </c>
      <c r="H252" s="90" t="s">
        <v>878</v>
      </c>
      <c r="I252" s="90" t="s">
        <v>172</v>
      </c>
      <c r="J252" s="87" t="s">
        <v>173</v>
      </c>
      <c r="K252" s="87"/>
      <c r="L252" s="90" t="s">
        <v>1276</v>
      </c>
      <c r="M252" s="90">
        <v>3108772660</v>
      </c>
      <c r="N252" s="90" t="s">
        <v>1277</v>
      </c>
      <c r="O252" s="90" t="str">
        <f t="shared" si="24"/>
        <v>Usaquén</v>
      </c>
      <c r="P252" s="87" t="s">
        <v>428</v>
      </c>
      <c r="Q252" s="87"/>
      <c r="R252" s="87"/>
      <c r="S252" s="87"/>
      <c r="T252" s="87"/>
      <c r="U252" s="87"/>
      <c r="V252" s="90" t="str">
        <f t="shared" si="25"/>
        <v>Norte</v>
      </c>
      <c r="W252" s="87" t="s">
        <v>429</v>
      </c>
      <c r="X252" s="87"/>
      <c r="Y252" s="87"/>
      <c r="Z252" s="87"/>
      <c r="AA252" s="87"/>
      <c r="AB252" s="87"/>
      <c r="AC252" s="90" t="str">
        <f t="shared" si="26"/>
        <v>Usaquén</v>
      </c>
      <c r="AD252" s="87" t="s">
        <v>428</v>
      </c>
      <c r="AE252" s="87"/>
      <c r="AF252" s="87"/>
      <c r="AG252" s="87"/>
      <c r="AH252" s="87"/>
      <c r="AI252" s="87"/>
      <c r="AJ252" s="87"/>
      <c r="AK252" s="87"/>
      <c r="AL252" s="87"/>
      <c r="AM252" s="87"/>
      <c r="AN252" s="90" t="s">
        <v>1278</v>
      </c>
      <c r="AO252" s="90" t="s">
        <v>1279</v>
      </c>
      <c r="AP252" s="82"/>
      <c r="AQ252" s="87" t="s">
        <v>60</v>
      </c>
      <c r="AR252" s="87" t="s">
        <v>398</v>
      </c>
      <c r="AS252" s="82"/>
      <c r="AT252" s="87">
        <v>51</v>
      </c>
      <c r="AU252" s="87">
        <v>13</v>
      </c>
      <c r="AV252" s="87">
        <f t="shared" si="5"/>
        <v>64</v>
      </c>
      <c r="AW252" s="87" t="str">
        <f t="shared" si="31"/>
        <v>Ninguna</v>
      </c>
      <c r="AX252" s="87" t="s">
        <v>75</v>
      </c>
      <c r="AY252" s="87"/>
      <c r="AZ252" s="87"/>
      <c r="BA252" s="91" t="s">
        <v>1280</v>
      </c>
      <c r="BB252" s="84"/>
      <c r="BC252" s="85"/>
      <c r="BD252" s="85"/>
    </row>
    <row r="253" spans="1:56" s="86" customFormat="1" ht="46.5" customHeight="1">
      <c r="A253" s="87">
        <v>248</v>
      </c>
      <c r="B253" s="79" t="s">
        <v>1281</v>
      </c>
      <c r="C253" s="88">
        <v>45390</v>
      </c>
      <c r="D253" s="89">
        <v>0.72916666666666663</v>
      </c>
      <c r="E253" s="87" t="s">
        <v>58</v>
      </c>
      <c r="F253" s="87" t="s">
        <v>61</v>
      </c>
      <c r="G253" s="87" t="s">
        <v>62</v>
      </c>
      <c r="H253" s="90" t="s">
        <v>392</v>
      </c>
      <c r="I253" s="90" t="s">
        <v>172</v>
      </c>
      <c r="J253" s="87" t="s">
        <v>173</v>
      </c>
      <c r="K253" s="87"/>
      <c r="L253" s="90" t="s">
        <v>72</v>
      </c>
      <c r="M253" s="90" t="s">
        <v>72</v>
      </c>
      <c r="N253" s="90" t="s">
        <v>72</v>
      </c>
      <c r="O253" s="90" t="str">
        <f t="shared" si="24"/>
        <v>Kennedy</v>
      </c>
      <c r="P253" s="87" t="s">
        <v>473</v>
      </c>
      <c r="Q253" s="87"/>
      <c r="R253" s="87"/>
      <c r="S253" s="87"/>
      <c r="T253" s="87"/>
      <c r="U253" s="87"/>
      <c r="V253" s="90" t="str">
        <f t="shared" si="25"/>
        <v>Suroccidente</v>
      </c>
      <c r="W253" s="87" t="s">
        <v>474</v>
      </c>
      <c r="X253" s="87"/>
      <c r="Y253" s="87"/>
      <c r="Z253" s="87"/>
      <c r="AA253" s="87"/>
      <c r="AB253" s="87"/>
      <c r="AC253" s="90" t="str">
        <f t="shared" si="26"/>
        <v>Tintal</v>
      </c>
      <c r="AD253" s="87" t="s">
        <v>1134</v>
      </c>
      <c r="AE253" s="87"/>
      <c r="AF253" s="87"/>
      <c r="AG253" s="87"/>
      <c r="AH253" s="87"/>
      <c r="AI253" s="87"/>
      <c r="AJ253" s="87"/>
      <c r="AK253" s="87"/>
      <c r="AL253" s="87"/>
      <c r="AM253" s="87"/>
      <c r="AN253" s="90" t="s">
        <v>160</v>
      </c>
      <c r="AO253" s="90" t="s">
        <v>1282</v>
      </c>
      <c r="AP253" s="82"/>
      <c r="AQ253" s="87" t="s">
        <v>60</v>
      </c>
      <c r="AR253" s="87" t="s">
        <v>398</v>
      </c>
      <c r="AS253" s="82"/>
      <c r="AT253" s="87">
        <v>60</v>
      </c>
      <c r="AU253" s="87">
        <v>17</v>
      </c>
      <c r="AV253" s="87">
        <f t="shared" si="5"/>
        <v>77</v>
      </c>
      <c r="AW253" s="87" t="str">
        <f t="shared" si="31"/>
        <v>Ninguna</v>
      </c>
      <c r="AX253" s="87" t="s">
        <v>75</v>
      </c>
      <c r="AY253" s="87"/>
      <c r="AZ253" s="87"/>
      <c r="BA253" s="91" t="s">
        <v>1283</v>
      </c>
      <c r="BB253" s="84"/>
      <c r="BC253" s="85"/>
      <c r="BD253" s="85"/>
    </row>
    <row r="254" spans="1:56" s="86" customFormat="1" ht="46.5" customHeight="1">
      <c r="A254" s="78">
        <v>249</v>
      </c>
      <c r="B254" s="79" t="s">
        <v>1284</v>
      </c>
      <c r="C254" s="88">
        <v>45390</v>
      </c>
      <c r="D254" s="89">
        <v>0.75</v>
      </c>
      <c r="E254" s="87" t="s">
        <v>93</v>
      </c>
      <c r="F254" s="87" t="s">
        <v>102</v>
      </c>
      <c r="G254" s="87" t="s">
        <v>95</v>
      </c>
      <c r="H254" s="90" t="s">
        <v>1285</v>
      </c>
      <c r="I254" s="90" t="s">
        <v>118</v>
      </c>
      <c r="J254" s="87" t="s">
        <v>119</v>
      </c>
      <c r="K254" s="87" t="s">
        <v>129</v>
      </c>
      <c r="L254" s="90" t="s">
        <v>1286</v>
      </c>
      <c r="M254" s="90">
        <v>3108148740</v>
      </c>
      <c r="N254" s="90" t="s">
        <v>439</v>
      </c>
      <c r="O254" s="90" t="str">
        <f t="shared" si="24"/>
        <v>Distrital</v>
      </c>
      <c r="P254" s="87" t="s">
        <v>73</v>
      </c>
      <c r="Q254" s="87"/>
      <c r="R254" s="87"/>
      <c r="S254" s="87"/>
      <c r="T254" s="87"/>
      <c r="U254" s="87"/>
      <c r="V254" s="90" t="str">
        <f t="shared" si="25"/>
        <v>Distrital</v>
      </c>
      <c r="W254" s="87" t="s">
        <v>73</v>
      </c>
      <c r="X254" s="87"/>
      <c r="Y254" s="87"/>
      <c r="Z254" s="87"/>
      <c r="AA254" s="87"/>
      <c r="AB254" s="87"/>
      <c r="AC254" s="90" t="str">
        <f t="shared" si="26"/>
        <v>Distrital</v>
      </c>
      <c r="AD254" s="87" t="s">
        <v>73</v>
      </c>
      <c r="AE254" s="87"/>
      <c r="AF254" s="87"/>
      <c r="AG254" s="87"/>
      <c r="AH254" s="87"/>
      <c r="AI254" s="87"/>
      <c r="AJ254" s="87"/>
      <c r="AK254" s="87"/>
      <c r="AL254" s="87"/>
      <c r="AM254" s="87"/>
      <c r="AN254" s="90" t="s">
        <v>160</v>
      </c>
      <c r="AO254" s="92" t="s">
        <v>1287</v>
      </c>
      <c r="AP254" s="82"/>
      <c r="AQ254" s="87" t="s">
        <v>59</v>
      </c>
      <c r="AR254" s="87" t="s">
        <v>80</v>
      </c>
      <c r="AS254" s="82"/>
      <c r="AT254" s="87">
        <v>3</v>
      </c>
      <c r="AU254" s="87">
        <v>1</v>
      </c>
      <c r="AV254" s="87">
        <f t="shared" si="5"/>
        <v>4</v>
      </c>
      <c r="AW254" s="87" t="str">
        <f t="shared" si="31"/>
        <v>No Aplica</v>
      </c>
      <c r="AX254" s="87" t="s">
        <v>78</v>
      </c>
      <c r="AY254" s="87"/>
      <c r="AZ254" s="87"/>
      <c r="BA254" s="91" t="s">
        <v>1288</v>
      </c>
      <c r="BB254" s="84"/>
      <c r="BC254" s="85"/>
      <c r="BD254" s="85"/>
    </row>
    <row r="255" spans="1:56" s="86" customFormat="1" ht="46.5" customHeight="1">
      <c r="A255" s="87">
        <v>250</v>
      </c>
      <c r="B255" s="79" t="s">
        <v>1289</v>
      </c>
      <c r="C255" s="88">
        <v>45390</v>
      </c>
      <c r="D255" s="89">
        <v>0.8125</v>
      </c>
      <c r="E255" s="87" t="s">
        <v>58</v>
      </c>
      <c r="F255" s="87" t="s">
        <v>61</v>
      </c>
      <c r="G255" s="87" t="s">
        <v>95</v>
      </c>
      <c r="H255" s="90" t="s">
        <v>1290</v>
      </c>
      <c r="I255" s="90" t="s">
        <v>172</v>
      </c>
      <c r="J255" s="87" t="s">
        <v>173</v>
      </c>
      <c r="K255" s="87"/>
      <c r="L255" s="90" t="s">
        <v>1291</v>
      </c>
      <c r="M255" s="90">
        <v>3188799909</v>
      </c>
      <c r="N255" s="90" t="s">
        <v>72</v>
      </c>
      <c r="O255" s="90" t="str">
        <f t="shared" si="24"/>
        <v>Distrital</v>
      </c>
      <c r="P255" s="87" t="s">
        <v>73</v>
      </c>
      <c r="Q255" s="87"/>
      <c r="R255" s="87"/>
      <c r="S255" s="87"/>
      <c r="T255" s="87"/>
      <c r="U255" s="87"/>
      <c r="V255" s="90" t="str">
        <f t="shared" si="25"/>
        <v>Distrital</v>
      </c>
      <c r="W255" s="87" t="s">
        <v>73</v>
      </c>
      <c r="X255" s="87"/>
      <c r="Y255" s="87"/>
      <c r="Z255" s="87"/>
      <c r="AA255" s="87"/>
      <c r="AB255" s="87"/>
      <c r="AC255" s="90" t="str">
        <f t="shared" si="26"/>
        <v>Distrital</v>
      </c>
      <c r="AD255" s="87" t="s">
        <v>73</v>
      </c>
      <c r="AE255" s="87"/>
      <c r="AF255" s="87"/>
      <c r="AG255" s="87"/>
      <c r="AH255" s="87"/>
      <c r="AI255" s="87"/>
      <c r="AJ255" s="87"/>
      <c r="AK255" s="87"/>
      <c r="AL255" s="87"/>
      <c r="AM255" s="87"/>
      <c r="AN255" s="90" t="s">
        <v>160</v>
      </c>
      <c r="AO255" s="92" t="s">
        <v>1292</v>
      </c>
      <c r="AP255" s="82"/>
      <c r="AQ255" s="87" t="s">
        <v>60</v>
      </c>
      <c r="AR255" s="87" t="s">
        <v>398</v>
      </c>
      <c r="AS255" s="82"/>
      <c r="AT255" s="87">
        <v>4</v>
      </c>
      <c r="AU255" s="87">
        <v>3</v>
      </c>
      <c r="AV255" s="87">
        <f t="shared" si="5"/>
        <v>7</v>
      </c>
      <c r="AW255" s="87" t="str">
        <f t="shared" si="31"/>
        <v>No Aplica</v>
      </c>
      <c r="AX255" s="87" t="s">
        <v>78</v>
      </c>
      <c r="AY255" s="87"/>
      <c r="AZ255" s="87"/>
      <c r="BA255" s="91" t="s">
        <v>1293</v>
      </c>
      <c r="BB255" s="84"/>
      <c r="BC255" s="85"/>
      <c r="BD255" s="85"/>
    </row>
    <row r="256" spans="1:56" s="86" customFormat="1" ht="46.5" customHeight="1">
      <c r="A256" s="78">
        <v>251</v>
      </c>
      <c r="B256" s="79" t="s">
        <v>1294</v>
      </c>
      <c r="C256" s="88">
        <v>45391</v>
      </c>
      <c r="D256" s="89">
        <v>0.375</v>
      </c>
      <c r="E256" s="87" t="s">
        <v>58</v>
      </c>
      <c r="F256" s="87" t="s">
        <v>61</v>
      </c>
      <c r="G256" s="87" t="s">
        <v>62</v>
      </c>
      <c r="H256" s="90" t="s">
        <v>878</v>
      </c>
      <c r="I256" s="90" t="s">
        <v>193</v>
      </c>
      <c r="J256" s="87" t="s">
        <v>173</v>
      </c>
      <c r="K256" s="87"/>
      <c r="L256" s="90" t="s">
        <v>72</v>
      </c>
      <c r="M256" s="90" t="s">
        <v>72</v>
      </c>
      <c r="N256" s="90" t="s">
        <v>72</v>
      </c>
      <c r="O256" s="90" t="str">
        <f t="shared" si="24"/>
        <v>Teusaquillo</v>
      </c>
      <c r="P256" s="87" t="s">
        <v>665</v>
      </c>
      <c r="Q256" s="87"/>
      <c r="R256" s="87"/>
      <c r="S256" s="87"/>
      <c r="T256" s="87"/>
      <c r="U256" s="87"/>
      <c r="V256" s="90" t="str">
        <f t="shared" si="25"/>
        <v>Centro Ampliado</v>
      </c>
      <c r="W256" s="87" t="s">
        <v>415</v>
      </c>
      <c r="X256" s="87"/>
      <c r="Y256" s="87"/>
      <c r="Z256" s="87"/>
      <c r="AA256" s="87"/>
      <c r="AB256" s="87"/>
      <c r="AC256" s="90" t="str">
        <f t="shared" si="26"/>
        <v>Teusaquillo</v>
      </c>
      <c r="AD256" s="87" t="s">
        <v>665</v>
      </c>
      <c r="AE256" s="87"/>
      <c r="AF256" s="87"/>
      <c r="AG256" s="87"/>
      <c r="AH256" s="87"/>
      <c r="AI256" s="87"/>
      <c r="AJ256" s="87"/>
      <c r="AK256" s="87"/>
      <c r="AL256" s="87"/>
      <c r="AM256" s="87"/>
      <c r="AN256" s="90" t="s">
        <v>1295</v>
      </c>
      <c r="AO256" s="90" t="s">
        <v>1296</v>
      </c>
      <c r="AP256" s="82"/>
      <c r="AQ256" s="87" t="s">
        <v>60</v>
      </c>
      <c r="AR256" s="87" t="s">
        <v>398</v>
      </c>
      <c r="AS256" s="82"/>
      <c r="AT256" s="87">
        <v>51</v>
      </c>
      <c r="AU256" s="87">
        <v>9</v>
      </c>
      <c r="AV256" s="87">
        <f t="shared" si="5"/>
        <v>60</v>
      </c>
      <c r="AW256" s="87" t="str">
        <f t="shared" si="31"/>
        <v>Accesibilidad Universal, Horarios Acordes, Contenidos adaptados</v>
      </c>
      <c r="AX256" s="87" t="s">
        <v>246</v>
      </c>
      <c r="AY256" s="87" t="s">
        <v>213</v>
      </c>
      <c r="AZ256" s="87" t="s">
        <v>212</v>
      </c>
      <c r="BA256" s="91" t="s">
        <v>1297</v>
      </c>
      <c r="BB256" s="84"/>
      <c r="BC256" s="85"/>
      <c r="BD256" s="85"/>
    </row>
    <row r="257" spans="1:56" s="86" customFormat="1" ht="46.5" customHeight="1">
      <c r="A257" s="87">
        <v>252</v>
      </c>
      <c r="B257" s="79" t="s">
        <v>1298</v>
      </c>
      <c r="C257" s="88">
        <v>45391</v>
      </c>
      <c r="D257" s="89">
        <v>0.375</v>
      </c>
      <c r="E257" s="87" t="s">
        <v>58</v>
      </c>
      <c r="F257" s="87" t="s">
        <v>61</v>
      </c>
      <c r="G257" s="87" t="s">
        <v>62</v>
      </c>
      <c r="H257" s="90" t="s">
        <v>878</v>
      </c>
      <c r="I257" s="90" t="s">
        <v>193</v>
      </c>
      <c r="J257" s="87" t="s">
        <v>173</v>
      </c>
      <c r="K257" s="87"/>
      <c r="L257" s="90" t="s">
        <v>1299</v>
      </c>
      <c r="M257" s="90">
        <v>6043443700</v>
      </c>
      <c r="N257" s="90" t="s">
        <v>1300</v>
      </c>
      <c r="O257" s="90" t="str">
        <f t="shared" si="24"/>
        <v>Antonio Nariño</v>
      </c>
      <c r="P257" s="87" t="s">
        <v>413</v>
      </c>
      <c r="Q257" s="87"/>
      <c r="R257" s="87"/>
      <c r="S257" s="87"/>
      <c r="T257" s="87"/>
      <c r="U257" s="87"/>
      <c r="V257" s="90" t="str">
        <f t="shared" si="25"/>
        <v>Centro Ampliado</v>
      </c>
      <c r="W257" s="87" t="s">
        <v>415</v>
      </c>
      <c r="X257" s="87"/>
      <c r="Y257" s="87"/>
      <c r="Z257" s="87"/>
      <c r="AA257" s="87"/>
      <c r="AB257" s="87"/>
      <c r="AC257" s="90" t="str">
        <f t="shared" si="26"/>
        <v>Restrepo</v>
      </c>
      <c r="AD257" s="87" t="s">
        <v>416</v>
      </c>
      <c r="AE257" s="87"/>
      <c r="AF257" s="87"/>
      <c r="AG257" s="87"/>
      <c r="AH257" s="87"/>
      <c r="AI257" s="87"/>
      <c r="AJ257" s="87"/>
      <c r="AK257" s="87"/>
      <c r="AL257" s="87"/>
      <c r="AM257" s="87"/>
      <c r="AN257" s="90" t="s">
        <v>416</v>
      </c>
      <c r="AO257" s="90" t="s">
        <v>1301</v>
      </c>
      <c r="AP257" s="82"/>
      <c r="AQ257" s="87" t="s">
        <v>60</v>
      </c>
      <c r="AR257" s="87" t="s">
        <v>398</v>
      </c>
      <c r="AS257" s="82"/>
      <c r="AT257" s="87">
        <v>50</v>
      </c>
      <c r="AU257" s="87">
        <v>8</v>
      </c>
      <c r="AV257" s="87">
        <f t="shared" si="5"/>
        <v>58</v>
      </c>
      <c r="AW257" s="87" t="str">
        <f t="shared" si="31"/>
        <v>Accesibilidad Universal, Horarios Acordes</v>
      </c>
      <c r="AX257" s="87" t="s">
        <v>246</v>
      </c>
      <c r="AY257" s="87" t="s">
        <v>213</v>
      </c>
      <c r="AZ257" s="87"/>
      <c r="BA257" s="91" t="s">
        <v>1302</v>
      </c>
      <c r="BB257" s="84"/>
      <c r="BC257" s="85"/>
      <c r="BD257" s="85"/>
    </row>
    <row r="258" spans="1:56" s="86" customFormat="1" ht="46.5" customHeight="1">
      <c r="A258" s="78">
        <v>253</v>
      </c>
      <c r="B258" s="79" t="s">
        <v>1303</v>
      </c>
      <c r="C258" s="88">
        <v>45391</v>
      </c>
      <c r="D258" s="89">
        <v>0.375</v>
      </c>
      <c r="E258" s="87" t="s">
        <v>58</v>
      </c>
      <c r="F258" s="87" t="s">
        <v>61</v>
      </c>
      <c r="G258" s="87" t="s">
        <v>62</v>
      </c>
      <c r="H258" s="90" t="s">
        <v>1304</v>
      </c>
      <c r="I258" s="90" t="s">
        <v>172</v>
      </c>
      <c r="J258" s="87" t="s">
        <v>119</v>
      </c>
      <c r="K258" s="87" t="s">
        <v>209</v>
      </c>
      <c r="L258" s="90" t="s">
        <v>1070</v>
      </c>
      <c r="M258" s="90">
        <v>3125641672</v>
      </c>
      <c r="N258" s="90" t="s">
        <v>1305</v>
      </c>
      <c r="O258" s="90" t="str">
        <f t="shared" si="24"/>
        <v>Distrital</v>
      </c>
      <c r="P258" s="87" t="s">
        <v>73</v>
      </c>
      <c r="Q258" s="87"/>
      <c r="R258" s="87"/>
      <c r="S258" s="87"/>
      <c r="T258" s="87"/>
      <c r="U258" s="87"/>
      <c r="V258" s="90" t="str">
        <f t="shared" si="25"/>
        <v>Distrital</v>
      </c>
      <c r="W258" s="87" t="s">
        <v>73</v>
      </c>
      <c r="X258" s="87"/>
      <c r="Y258" s="87"/>
      <c r="Z258" s="87"/>
      <c r="AA258" s="87"/>
      <c r="AB258" s="87"/>
      <c r="AC258" s="90" t="str">
        <f t="shared" si="26"/>
        <v>Distrital</v>
      </c>
      <c r="AD258" s="87" t="s">
        <v>73</v>
      </c>
      <c r="AE258" s="87"/>
      <c r="AF258" s="87"/>
      <c r="AG258" s="87"/>
      <c r="AH258" s="87"/>
      <c r="AI258" s="87"/>
      <c r="AJ258" s="87"/>
      <c r="AK258" s="87"/>
      <c r="AL258" s="87"/>
      <c r="AM258" s="87"/>
      <c r="AN258" s="90" t="s">
        <v>160</v>
      </c>
      <c r="AO258" s="90" t="s">
        <v>1306</v>
      </c>
      <c r="AP258" s="82"/>
      <c r="AQ258" s="87" t="s">
        <v>60</v>
      </c>
      <c r="AR258" s="87" t="s">
        <v>398</v>
      </c>
      <c r="AS258" s="82"/>
      <c r="AT258" s="87">
        <v>15</v>
      </c>
      <c r="AU258" s="87">
        <v>4</v>
      </c>
      <c r="AV258" s="87">
        <f t="shared" si="5"/>
        <v>19</v>
      </c>
      <c r="AW258" s="87" t="str">
        <f t="shared" si="31"/>
        <v>Ninguna</v>
      </c>
      <c r="AX258" s="87" t="s">
        <v>75</v>
      </c>
      <c r="AY258" s="87"/>
      <c r="AZ258" s="87"/>
      <c r="BA258" s="91" t="s">
        <v>1307</v>
      </c>
      <c r="BB258" s="84"/>
      <c r="BC258" s="85"/>
      <c r="BD258" s="85"/>
    </row>
    <row r="259" spans="1:56" s="86" customFormat="1" ht="46.5" customHeight="1">
      <c r="A259" s="87">
        <v>254</v>
      </c>
      <c r="B259" s="79" t="s">
        <v>1308</v>
      </c>
      <c r="C259" s="88">
        <v>45391</v>
      </c>
      <c r="D259" s="89">
        <v>0.39583333333333331</v>
      </c>
      <c r="E259" s="87" t="s">
        <v>58</v>
      </c>
      <c r="F259" s="87" t="s">
        <v>61</v>
      </c>
      <c r="G259" s="87" t="s">
        <v>62</v>
      </c>
      <c r="H259" s="90" t="s">
        <v>1309</v>
      </c>
      <c r="I259" s="90" t="s">
        <v>193</v>
      </c>
      <c r="J259" s="87" t="s">
        <v>119</v>
      </c>
      <c r="K259" s="87" t="s">
        <v>104</v>
      </c>
      <c r="L259" s="90" t="s">
        <v>1310</v>
      </c>
      <c r="M259" s="90">
        <v>3214169223</v>
      </c>
      <c r="N259" s="90" t="s">
        <v>1311</v>
      </c>
      <c r="O259" s="90" t="str">
        <f t="shared" si="24"/>
        <v>Usaquén</v>
      </c>
      <c r="P259" s="87" t="s">
        <v>428</v>
      </c>
      <c r="Q259" s="87"/>
      <c r="R259" s="87"/>
      <c r="S259" s="87"/>
      <c r="T259" s="87"/>
      <c r="U259" s="87"/>
      <c r="V259" s="90" t="str">
        <f t="shared" si="25"/>
        <v>Norte</v>
      </c>
      <c r="W259" s="87" t="s">
        <v>429</v>
      </c>
      <c r="X259" s="87"/>
      <c r="Y259" s="87"/>
      <c r="Z259" s="87"/>
      <c r="AA259" s="87"/>
      <c r="AB259" s="87"/>
      <c r="AC259" s="90" t="str">
        <f t="shared" si="26"/>
        <v>Usaquén</v>
      </c>
      <c r="AD259" s="87" t="s">
        <v>428</v>
      </c>
      <c r="AE259" s="87"/>
      <c r="AF259" s="87"/>
      <c r="AG259" s="87"/>
      <c r="AH259" s="87"/>
      <c r="AI259" s="87"/>
      <c r="AJ259" s="87"/>
      <c r="AK259" s="87"/>
      <c r="AL259" s="87"/>
      <c r="AM259" s="87"/>
      <c r="AN259" s="90" t="s">
        <v>428</v>
      </c>
      <c r="AO259" s="90" t="s">
        <v>1312</v>
      </c>
      <c r="AP259" s="82"/>
      <c r="AQ259" s="87" t="s">
        <v>60</v>
      </c>
      <c r="AR259" s="87" t="s">
        <v>77</v>
      </c>
      <c r="AS259" s="82"/>
      <c r="AT259" s="87">
        <v>10</v>
      </c>
      <c r="AU259" s="87">
        <v>2</v>
      </c>
      <c r="AV259" s="87">
        <f t="shared" si="5"/>
        <v>12</v>
      </c>
      <c r="AW259" s="87" t="str">
        <f t="shared" si="31"/>
        <v>No Aplica</v>
      </c>
      <c r="AX259" s="87" t="s">
        <v>78</v>
      </c>
      <c r="AY259" s="87"/>
      <c r="AZ259" s="87"/>
      <c r="BA259" s="91" t="s">
        <v>1313</v>
      </c>
      <c r="BB259" s="84"/>
      <c r="BC259" s="85"/>
      <c r="BD259" s="85"/>
    </row>
    <row r="260" spans="1:56" s="86" customFormat="1" ht="46.5" customHeight="1">
      <c r="A260" s="78">
        <v>255</v>
      </c>
      <c r="B260" s="79" t="s">
        <v>1314</v>
      </c>
      <c r="C260" s="88">
        <v>45391</v>
      </c>
      <c r="D260" s="89">
        <v>0.39583333333333331</v>
      </c>
      <c r="E260" s="87" t="s">
        <v>58</v>
      </c>
      <c r="F260" s="87" t="s">
        <v>61</v>
      </c>
      <c r="G260" s="87" t="s">
        <v>62</v>
      </c>
      <c r="H260" s="90" t="s">
        <v>1315</v>
      </c>
      <c r="I260" s="90" t="s">
        <v>193</v>
      </c>
      <c r="J260" s="87" t="s">
        <v>119</v>
      </c>
      <c r="K260" s="87" t="s">
        <v>104</v>
      </c>
      <c r="L260" s="90" t="s">
        <v>1316</v>
      </c>
      <c r="M260" s="90" t="s">
        <v>1317</v>
      </c>
      <c r="N260" s="90" t="s">
        <v>1318</v>
      </c>
      <c r="O260" s="90" t="str">
        <f t="shared" si="24"/>
        <v>Kennedy</v>
      </c>
      <c r="P260" s="87" t="s">
        <v>473</v>
      </c>
      <c r="Q260" s="87"/>
      <c r="R260" s="87"/>
      <c r="S260" s="87"/>
      <c r="T260" s="87"/>
      <c r="U260" s="87"/>
      <c r="V260" s="90" t="str">
        <f t="shared" si="25"/>
        <v>Suroccidente</v>
      </c>
      <c r="W260" s="87" t="s">
        <v>474</v>
      </c>
      <c r="X260" s="87"/>
      <c r="Y260" s="87"/>
      <c r="Z260" s="87"/>
      <c r="AA260" s="87"/>
      <c r="AB260" s="87"/>
      <c r="AC260" s="90" t="str">
        <f t="shared" si="26"/>
        <v>Kennedy, Edén, Patio Bonito, Tintal</v>
      </c>
      <c r="AD260" s="87" t="s">
        <v>473</v>
      </c>
      <c r="AE260" s="87" t="s">
        <v>704</v>
      </c>
      <c r="AF260" s="87" t="s">
        <v>639</v>
      </c>
      <c r="AG260" s="87" t="s">
        <v>1134</v>
      </c>
      <c r="AH260" s="87"/>
      <c r="AI260" s="87"/>
      <c r="AJ260" s="87"/>
      <c r="AK260" s="87"/>
      <c r="AL260" s="87"/>
      <c r="AM260" s="87"/>
      <c r="AN260" s="90" t="s">
        <v>473</v>
      </c>
      <c r="AO260" s="90" t="s">
        <v>1319</v>
      </c>
      <c r="AP260" s="82"/>
      <c r="AQ260" s="87" t="s">
        <v>60</v>
      </c>
      <c r="AR260" s="87" t="s">
        <v>77</v>
      </c>
      <c r="AS260" s="82"/>
      <c r="AT260" s="87">
        <v>10</v>
      </c>
      <c r="AU260" s="87">
        <v>1</v>
      </c>
      <c r="AV260" s="87">
        <f t="shared" si="5"/>
        <v>11</v>
      </c>
      <c r="AW260" s="87" t="str">
        <f t="shared" si="31"/>
        <v>Accesibilidad Universal, Horarios Acordes</v>
      </c>
      <c r="AX260" s="87" t="s">
        <v>246</v>
      </c>
      <c r="AY260" s="87" t="s">
        <v>213</v>
      </c>
      <c r="AZ260" s="87"/>
      <c r="BA260" s="91" t="s">
        <v>1320</v>
      </c>
      <c r="BB260" s="84"/>
      <c r="BC260" s="85"/>
      <c r="BD260" s="85"/>
    </row>
    <row r="261" spans="1:56" s="86" customFormat="1" ht="46.5" customHeight="1">
      <c r="A261" s="87">
        <v>256</v>
      </c>
      <c r="B261" s="79" t="s">
        <v>1321</v>
      </c>
      <c r="C261" s="88">
        <v>45391</v>
      </c>
      <c r="D261" s="89">
        <v>0.58333333333333337</v>
      </c>
      <c r="E261" s="87" t="s">
        <v>58</v>
      </c>
      <c r="F261" s="87" t="s">
        <v>61</v>
      </c>
      <c r="G261" s="87" t="s">
        <v>62</v>
      </c>
      <c r="H261" s="90" t="s">
        <v>878</v>
      </c>
      <c r="I261" s="90" t="s">
        <v>172</v>
      </c>
      <c r="J261" s="87" t="s">
        <v>70</v>
      </c>
      <c r="K261" s="87" t="s">
        <v>1322</v>
      </c>
      <c r="L261" s="90" t="s">
        <v>98</v>
      </c>
      <c r="M261" s="90" t="s">
        <v>72</v>
      </c>
      <c r="N261" s="90" t="s">
        <v>99</v>
      </c>
      <c r="O261" s="90" t="str">
        <f t="shared" si="24"/>
        <v>Distrital</v>
      </c>
      <c r="P261" s="87" t="s">
        <v>73</v>
      </c>
      <c r="Q261" s="87"/>
      <c r="R261" s="87"/>
      <c r="S261" s="87"/>
      <c r="T261" s="87"/>
      <c r="U261" s="87"/>
      <c r="V261" s="90" t="str">
        <f t="shared" si="25"/>
        <v>Distrital</v>
      </c>
      <c r="W261" s="87" t="s">
        <v>73</v>
      </c>
      <c r="X261" s="87"/>
      <c r="Y261" s="87"/>
      <c r="Z261" s="87"/>
      <c r="AA261" s="87"/>
      <c r="AB261" s="87"/>
      <c r="AC261" s="90" t="str">
        <f t="shared" si="26"/>
        <v>Distrital</v>
      </c>
      <c r="AD261" s="87" t="s">
        <v>73</v>
      </c>
      <c r="AE261" s="87"/>
      <c r="AF261" s="87"/>
      <c r="AG261" s="87"/>
      <c r="AH261" s="87"/>
      <c r="AI261" s="87"/>
      <c r="AJ261" s="87"/>
      <c r="AK261" s="87"/>
      <c r="AL261" s="87"/>
      <c r="AM261" s="87"/>
      <c r="AN261" s="90" t="s">
        <v>160</v>
      </c>
      <c r="AO261" s="90" t="s">
        <v>1323</v>
      </c>
      <c r="AP261" s="82"/>
      <c r="AQ261" s="87" t="s">
        <v>60</v>
      </c>
      <c r="AR261" s="87" t="s">
        <v>398</v>
      </c>
      <c r="AS261" s="82"/>
      <c r="AT261" s="87">
        <v>25</v>
      </c>
      <c r="AU261" s="87">
        <v>10</v>
      </c>
      <c r="AV261" s="87">
        <f t="shared" si="5"/>
        <v>35</v>
      </c>
      <c r="AW261" s="87" t="str">
        <f t="shared" si="31"/>
        <v>Ninguna</v>
      </c>
      <c r="AX261" s="87" t="s">
        <v>75</v>
      </c>
      <c r="AY261" s="87"/>
      <c r="AZ261" s="87"/>
      <c r="BA261" s="91" t="s">
        <v>1324</v>
      </c>
      <c r="BB261" s="84"/>
      <c r="BC261" s="85"/>
      <c r="BD261" s="85"/>
    </row>
    <row r="262" spans="1:56" s="86" customFormat="1" ht="46.5" customHeight="1">
      <c r="A262" s="78">
        <v>257</v>
      </c>
      <c r="B262" s="79" t="s">
        <v>1325</v>
      </c>
      <c r="C262" s="88">
        <v>45391</v>
      </c>
      <c r="D262" s="89">
        <v>0.72916666666666663</v>
      </c>
      <c r="E262" s="87" t="s">
        <v>58</v>
      </c>
      <c r="F262" s="87" t="s">
        <v>61</v>
      </c>
      <c r="G262" s="87" t="s">
        <v>62</v>
      </c>
      <c r="H262" s="90" t="s">
        <v>878</v>
      </c>
      <c r="I262" s="90" t="s">
        <v>172</v>
      </c>
      <c r="J262" s="87" t="s">
        <v>173</v>
      </c>
      <c r="K262" s="87"/>
      <c r="L262" s="90" t="s">
        <v>1316</v>
      </c>
      <c r="M262" s="91" t="s">
        <v>1317</v>
      </c>
      <c r="N262" s="90" t="s">
        <v>1316</v>
      </c>
      <c r="O262" s="90" t="str">
        <f t="shared" ref="O262:O326" si="32">_xlfn.TEXTJOIN(", ",TRUE,$P262:$T262)</f>
        <v>Rafael Uribe Uribe, San Cristóbal</v>
      </c>
      <c r="P262" s="87" t="s">
        <v>414</v>
      </c>
      <c r="Q262" s="87" t="s">
        <v>370</v>
      </c>
      <c r="R262" s="87"/>
      <c r="S262" s="87"/>
      <c r="T262" s="87"/>
      <c r="U262" s="87"/>
      <c r="V262" s="90" t="str">
        <f t="shared" ref="V262:V326" si="33">_xlfn.TEXTJOIN(", ",TRUE,$W262:$AB262)</f>
        <v>Suroriente</v>
      </c>
      <c r="W262" s="87" t="s">
        <v>108</v>
      </c>
      <c r="X262" s="87"/>
      <c r="Y262" s="87"/>
      <c r="Z262" s="87"/>
      <c r="AA262" s="87"/>
      <c r="AB262" s="87"/>
      <c r="AC262" s="90" t="str">
        <f t="shared" ref="AC262:AC326" si="34">_xlfn.TEXTJOIN(", ",TRUE,$AD262:$AM262)</f>
        <v>San Cristobal</v>
      </c>
      <c r="AD262" s="87" t="s">
        <v>371</v>
      </c>
      <c r="AE262" s="87"/>
      <c r="AF262" s="87"/>
      <c r="AG262" s="87"/>
      <c r="AH262" s="87"/>
      <c r="AI262" s="87"/>
      <c r="AJ262" s="87"/>
      <c r="AK262" s="87"/>
      <c r="AL262" s="87"/>
      <c r="AM262" s="87"/>
      <c r="AN262" s="90" t="s">
        <v>1326</v>
      </c>
      <c r="AO262" s="90" t="s">
        <v>1327</v>
      </c>
      <c r="AP262" s="82"/>
      <c r="AQ262" s="87" t="s">
        <v>60</v>
      </c>
      <c r="AR262" s="87" t="s">
        <v>398</v>
      </c>
      <c r="AS262" s="82"/>
      <c r="AT262" s="87">
        <v>51</v>
      </c>
      <c r="AU262" s="87">
        <v>15</v>
      </c>
      <c r="AV262" s="87">
        <f t="shared" si="5"/>
        <v>66</v>
      </c>
      <c r="AW262" s="87" t="str">
        <f t="shared" si="31"/>
        <v>Accesibilidad Universal</v>
      </c>
      <c r="AX262" s="87" t="s">
        <v>246</v>
      </c>
      <c r="AY262" s="87"/>
      <c r="AZ262" s="87"/>
      <c r="BA262" s="91" t="s">
        <v>1258</v>
      </c>
      <c r="BB262" s="84"/>
      <c r="BC262" s="85"/>
      <c r="BD262" s="85"/>
    </row>
    <row r="263" spans="1:56" s="86" customFormat="1" ht="46.5" customHeight="1">
      <c r="A263" s="87">
        <v>258</v>
      </c>
      <c r="B263" s="79" t="s">
        <v>1328</v>
      </c>
      <c r="C263" s="88">
        <v>45391</v>
      </c>
      <c r="D263" s="89">
        <v>0.72916666666666663</v>
      </c>
      <c r="E263" s="87" t="s">
        <v>58</v>
      </c>
      <c r="F263" s="87" t="s">
        <v>61</v>
      </c>
      <c r="G263" s="87" t="s">
        <v>95</v>
      </c>
      <c r="H263" s="90" t="s">
        <v>1329</v>
      </c>
      <c r="I263" s="90" t="s">
        <v>188</v>
      </c>
      <c r="J263" s="87" t="s">
        <v>173</v>
      </c>
      <c r="K263" s="87"/>
      <c r="L263" s="90" t="s">
        <v>1330</v>
      </c>
      <c r="M263" s="91">
        <v>3105655186</v>
      </c>
      <c r="N263" s="90" t="s">
        <v>1331</v>
      </c>
      <c r="O263" s="90" t="str">
        <f t="shared" si="32"/>
        <v>Distrital</v>
      </c>
      <c r="P263" s="87" t="s">
        <v>73</v>
      </c>
      <c r="Q263" s="87"/>
      <c r="R263" s="87"/>
      <c r="S263" s="87"/>
      <c r="T263" s="87"/>
      <c r="U263" s="87"/>
      <c r="V263" s="90" t="str">
        <f t="shared" si="33"/>
        <v>Distrital</v>
      </c>
      <c r="W263" s="87" t="s">
        <v>73</v>
      </c>
      <c r="X263" s="87"/>
      <c r="Y263" s="87"/>
      <c r="Z263" s="87"/>
      <c r="AA263" s="87"/>
      <c r="AB263" s="87"/>
      <c r="AC263" s="90" t="str">
        <f t="shared" si="34"/>
        <v>Distrital</v>
      </c>
      <c r="AD263" s="87" t="s">
        <v>73</v>
      </c>
      <c r="AE263" s="87"/>
      <c r="AF263" s="87"/>
      <c r="AG263" s="87"/>
      <c r="AH263" s="87"/>
      <c r="AI263" s="87"/>
      <c r="AJ263" s="87"/>
      <c r="AK263" s="87"/>
      <c r="AL263" s="87"/>
      <c r="AM263" s="87"/>
      <c r="AN263" s="90" t="s">
        <v>160</v>
      </c>
      <c r="AO263" s="92" t="s">
        <v>1332</v>
      </c>
      <c r="AP263" s="82"/>
      <c r="AQ263" s="87" t="s">
        <v>60</v>
      </c>
      <c r="AR263" s="87" t="s">
        <v>77</v>
      </c>
      <c r="AS263" s="82"/>
      <c r="AT263" s="87">
        <v>7</v>
      </c>
      <c r="AU263" s="87">
        <v>30</v>
      </c>
      <c r="AV263" s="87">
        <f t="shared" si="5"/>
        <v>37</v>
      </c>
      <c r="AW263" s="87" t="str">
        <f t="shared" si="31"/>
        <v>Contenidos adaptados</v>
      </c>
      <c r="AX263" s="87" t="s">
        <v>212</v>
      </c>
      <c r="AY263" s="87"/>
      <c r="AZ263" s="87"/>
      <c r="BA263" s="91" t="s">
        <v>1333</v>
      </c>
      <c r="BB263" s="84"/>
      <c r="BC263" s="85"/>
      <c r="BD263" s="85"/>
    </row>
    <row r="264" spans="1:56" s="86" customFormat="1" ht="46.5" customHeight="1">
      <c r="A264" s="78">
        <v>259</v>
      </c>
      <c r="B264" s="79" t="s">
        <v>661</v>
      </c>
      <c r="C264" s="88">
        <v>45392</v>
      </c>
      <c r="D264" s="89">
        <v>0.35416666666666669</v>
      </c>
      <c r="E264" s="87" t="s">
        <v>93</v>
      </c>
      <c r="F264" s="87" t="s">
        <v>321</v>
      </c>
      <c r="G264" s="87" t="s">
        <v>62</v>
      </c>
      <c r="H264" s="90" t="s">
        <v>662</v>
      </c>
      <c r="I264" s="90" t="s">
        <v>64</v>
      </c>
      <c r="J264" s="87" t="s">
        <v>70</v>
      </c>
      <c r="K264" s="87" t="s">
        <v>324</v>
      </c>
      <c r="L264" s="90" t="s">
        <v>1334</v>
      </c>
      <c r="M264" s="91">
        <v>3163896199</v>
      </c>
      <c r="N264" s="90" t="s">
        <v>1335</v>
      </c>
      <c r="O264" s="90" t="str">
        <f t="shared" si="32"/>
        <v>Teusaquillo</v>
      </c>
      <c r="P264" s="87" t="s">
        <v>665</v>
      </c>
      <c r="Q264" s="87"/>
      <c r="R264" s="87"/>
      <c r="S264" s="87"/>
      <c r="T264" s="87"/>
      <c r="U264" s="87"/>
      <c r="V264" s="90" t="str">
        <f t="shared" si="33"/>
        <v>Centro Ampliado</v>
      </c>
      <c r="W264" s="87" t="s">
        <v>415</v>
      </c>
      <c r="X264" s="87"/>
      <c r="Y264" s="87"/>
      <c r="Z264" s="87"/>
      <c r="AA264" s="87"/>
      <c r="AB264" s="87"/>
      <c r="AC264" s="90" t="str">
        <f t="shared" si="34"/>
        <v>Teusaquillo</v>
      </c>
      <c r="AD264" s="87" t="s">
        <v>665</v>
      </c>
      <c r="AE264" s="87"/>
      <c r="AF264" s="87"/>
      <c r="AG264" s="87"/>
      <c r="AH264" s="87"/>
      <c r="AI264" s="87"/>
      <c r="AJ264" s="87"/>
      <c r="AK264" s="87"/>
      <c r="AL264" s="87"/>
      <c r="AM264" s="87"/>
      <c r="AN264" s="90" t="s">
        <v>1336</v>
      </c>
      <c r="AO264" s="90" t="s">
        <v>1337</v>
      </c>
      <c r="AP264" s="82"/>
      <c r="AQ264" s="87" t="s">
        <v>59</v>
      </c>
      <c r="AR264" s="87" t="s">
        <v>80</v>
      </c>
      <c r="AS264" s="82"/>
      <c r="AT264" s="87">
        <v>16</v>
      </c>
      <c r="AU264" s="87">
        <v>1</v>
      </c>
      <c r="AV264" s="87">
        <f t="shared" si="5"/>
        <v>17</v>
      </c>
      <c r="AW264" s="87" t="str">
        <f t="shared" si="31"/>
        <v>Ninguna</v>
      </c>
      <c r="AX264" s="87" t="s">
        <v>75</v>
      </c>
      <c r="AY264" s="87"/>
      <c r="AZ264" s="87"/>
      <c r="BA264" s="91" t="s">
        <v>1338</v>
      </c>
      <c r="BB264" s="84"/>
      <c r="BC264" s="85"/>
      <c r="BD264" s="85"/>
    </row>
    <row r="265" spans="1:56" s="86" customFormat="1" ht="46.5" customHeight="1">
      <c r="A265" s="87">
        <v>260</v>
      </c>
      <c r="B265" s="79" t="s">
        <v>1339</v>
      </c>
      <c r="C265" s="88">
        <v>45392</v>
      </c>
      <c r="D265" s="89">
        <v>0.41666666666666669</v>
      </c>
      <c r="E265" s="87" t="s">
        <v>58</v>
      </c>
      <c r="F265" s="87" t="s">
        <v>61</v>
      </c>
      <c r="G265" s="87" t="s">
        <v>62</v>
      </c>
      <c r="H265" s="90" t="s">
        <v>878</v>
      </c>
      <c r="I265" s="90" t="s">
        <v>193</v>
      </c>
      <c r="J265" s="87" t="s">
        <v>173</v>
      </c>
      <c r="K265" s="87"/>
      <c r="L265" s="90"/>
      <c r="M265" s="91"/>
      <c r="N265" s="90"/>
      <c r="O265" s="90" t="str">
        <f t="shared" si="32"/>
        <v>Chapinero</v>
      </c>
      <c r="P265" s="87" t="s">
        <v>221</v>
      </c>
      <c r="Q265" s="87"/>
      <c r="R265" s="87"/>
      <c r="S265" s="87"/>
      <c r="T265" s="87"/>
      <c r="U265" s="87"/>
      <c r="V265" s="90" t="str">
        <f t="shared" si="33"/>
        <v>Distrital</v>
      </c>
      <c r="W265" s="87" t="s">
        <v>73</v>
      </c>
      <c r="X265" s="87"/>
      <c r="Y265" s="87"/>
      <c r="Z265" s="87"/>
      <c r="AA265" s="87"/>
      <c r="AB265" s="87"/>
      <c r="AC265" s="90" t="str">
        <f t="shared" si="34"/>
        <v>Chapinero</v>
      </c>
      <c r="AD265" s="87" t="s">
        <v>221</v>
      </c>
      <c r="AE265" s="87"/>
      <c r="AF265" s="87"/>
      <c r="AG265" s="87"/>
      <c r="AH265" s="87"/>
      <c r="AI265" s="87"/>
      <c r="AJ265" s="87"/>
      <c r="AK265" s="87"/>
      <c r="AL265" s="87"/>
      <c r="AM265" s="87"/>
      <c r="AN265" s="90" t="s">
        <v>160</v>
      </c>
      <c r="AO265" s="90" t="s">
        <v>1340</v>
      </c>
      <c r="AP265" s="82"/>
      <c r="AQ265" s="87" t="s">
        <v>60</v>
      </c>
      <c r="AR265" s="87" t="s">
        <v>398</v>
      </c>
      <c r="AS265" s="82"/>
      <c r="AT265" s="87">
        <v>145</v>
      </c>
      <c r="AU265" s="87">
        <v>18</v>
      </c>
      <c r="AV265" s="87">
        <f t="shared" si="5"/>
        <v>163</v>
      </c>
      <c r="AW265" s="87" t="str">
        <f t="shared" si="31"/>
        <v>No Aplica</v>
      </c>
      <c r="AX265" s="87" t="s">
        <v>78</v>
      </c>
      <c r="AY265" s="87"/>
      <c r="AZ265" s="87"/>
      <c r="BA265" s="91" t="s">
        <v>1341</v>
      </c>
      <c r="BB265" s="84"/>
      <c r="BC265" s="85"/>
      <c r="BD265" s="85"/>
    </row>
    <row r="266" spans="1:56" s="86" customFormat="1" ht="46.5" customHeight="1">
      <c r="A266" s="78">
        <v>261</v>
      </c>
      <c r="B266" s="79" t="s">
        <v>1342</v>
      </c>
      <c r="C266" s="88">
        <v>45392</v>
      </c>
      <c r="D266" s="89">
        <v>0.58333333333333337</v>
      </c>
      <c r="E266" s="87" t="s">
        <v>58</v>
      </c>
      <c r="F266" s="87" t="s">
        <v>1343</v>
      </c>
      <c r="G266" s="87" t="s">
        <v>62</v>
      </c>
      <c r="H266" s="90" t="s">
        <v>1344</v>
      </c>
      <c r="I266" s="90" t="s">
        <v>193</v>
      </c>
      <c r="J266" s="87" t="s">
        <v>173</v>
      </c>
      <c r="K266" s="87"/>
      <c r="L266" s="90" t="s">
        <v>1345</v>
      </c>
      <c r="M266" s="91">
        <v>3052388060</v>
      </c>
      <c r="N266" s="90" t="s">
        <v>1346</v>
      </c>
      <c r="O266" s="90" t="str">
        <f t="shared" si="32"/>
        <v>Distrital</v>
      </c>
      <c r="P266" s="87" t="s">
        <v>73</v>
      </c>
      <c r="Q266" s="87"/>
      <c r="R266" s="87"/>
      <c r="S266" s="87"/>
      <c r="T266" s="87"/>
      <c r="U266" s="87"/>
      <c r="V266" s="90" t="str">
        <f t="shared" si="33"/>
        <v>Distrital</v>
      </c>
      <c r="W266" s="87" t="s">
        <v>73</v>
      </c>
      <c r="X266" s="87"/>
      <c r="Y266" s="87"/>
      <c r="Z266" s="87"/>
      <c r="AA266" s="87"/>
      <c r="AB266" s="87"/>
      <c r="AC266" s="90" t="str">
        <f t="shared" si="34"/>
        <v>Distrital</v>
      </c>
      <c r="AD266" s="87" t="s">
        <v>73</v>
      </c>
      <c r="AE266" s="87"/>
      <c r="AF266" s="87"/>
      <c r="AG266" s="87"/>
      <c r="AH266" s="87"/>
      <c r="AI266" s="87"/>
      <c r="AJ266" s="87"/>
      <c r="AK266" s="87"/>
      <c r="AL266" s="87"/>
      <c r="AM266" s="87"/>
      <c r="AN266" s="90" t="s">
        <v>160</v>
      </c>
      <c r="AO266" s="90" t="s">
        <v>1347</v>
      </c>
      <c r="AP266" s="82"/>
      <c r="AQ266" s="87" t="s">
        <v>60</v>
      </c>
      <c r="AR266" s="87" t="s">
        <v>398</v>
      </c>
      <c r="AS266" s="82"/>
      <c r="AT266" s="87">
        <v>0</v>
      </c>
      <c r="AU266" s="87">
        <v>5</v>
      </c>
      <c r="AV266" s="87">
        <f t="shared" si="5"/>
        <v>5</v>
      </c>
      <c r="AW266" s="87" t="str">
        <f t="shared" si="31"/>
        <v>Ninguna</v>
      </c>
      <c r="AX266" s="87" t="s">
        <v>75</v>
      </c>
      <c r="AY266" s="87"/>
      <c r="AZ266" s="87"/>
      <c r="BA266" s="91" t="s">
        <v>1348</v>
      </c>
      <c r="BB266" s="84"/>
      <c r="BC266" s="85"/>
      <c r="BD266" s="85"/>
    </row>
    <row r="267" spans="1:56" s="86" customFormat="1" ht="46.5" customHeight="1">
      <c r="A267" s="87">
        <v>262</v>
      </c>
      <c r="B267" s="79" t="s">
        <v>1349</v>
      </c>
      <c r="C267" s="88">
        <v>45392</v>
      </c>
      <c r="D267" s="89">
        <v>0.375</v>
      </c>
      <c r="E267" s="87" t="s">
        <v>93</v>
      </c>
      <c r="F267" s="87" t="s">
        <v>102</v>
      </c>
      <c r="G267" s="87" t="s">
        <v>62</v>
      </c>
      <c r="H267" s="90" t="s">
        <v>1350</v>
      </c>
      <c r="I267" s="90" t="s">
        <v>118</v>
      </c>
      <c r="J267" s="87" t="s">
        <v>119</v>
      </c>
      <c r="K267" s="87" t="s">
        <v>129</v>
      </c>
      <c r="L267" s="90" t="s">
        <v>407</v>
      </c>
      <c r="M267" s="91">
        <v>3188799909</v>
      </c>
      <c r="N267" s="90" t="s">
        <v>1351</v>
      </c>
      <c r="O267" s="90" t="str">
        <f t="shared" si="32"/>
        <v>Distrital</v>
      </c>
      <c r="P267" s="87" t="s">
        <v>73</v>
      </c>
      <c r="Q267" s="87"/>
      <c r="R267" s="87"/>
      <c r="S267" s="87"/>
      <c r="T267" s="87"/>
      <c r="U267" s="87"/>
      <c r="V267" s="90" t="str">
        <f t="shared" si="33"/>
        <v>Distrital</v>
      </c>
      <c r="W267" s="87" t="s">
        <v>73</v>
      </c>
      <c r="X267" s="87"/>
      <c r="Y267" s="87"/>
      <c r="Z267" s="87"/>
      <c r="AA267" s="87"/>
      <c r="AB267" s="87"/>
      <c r="AC267" s="90" t="str">
        <f t="shared" si="34"/>
        <v>Distrital</v>
      </c>
      <c r="AD267" s="87" t="s">
        <v>73</v>
      </c>
      <c r="AE267" s="87"/>
      <c r="AF267" s="87"/>
      <c r="AG267" s="87"/>
      <c r="AH267" s="87"/>
      <c r="AI267" s="87"/>
      <c r="AJ267" s="87"/>
      <c r="AK267" s="87"/>
      <c r="AL267" s="87"/>
      <c r="AM267" s="87"/>
      <c r="AN267" s="90" t="s">
        <v>160</v>
      </c>
      <c r="AO267" s="90" t="s">
        <v>1352</v>
      </c>
      <c r="AP267" s="82"/>
      <c r="AQ267" s="87" t="s">
        <v>59</v>
      </c>
      <c r="AR267" s="87" t="s">
        <v>80</v>
      </c>
      <c r="AS267" s="82"/>
      <c r="AT267" s="87">
        <v>5</v>
      </c>
      <c r="AU267" s="87">
        <v>7</v>
      </c>
      <c r="AV267" s="87">
        <f t="shared" si="5"/>
        <v>12</v>
      </c>
      <c r="AW267" s="87" t="str">
        <f t="shared" si="31"/>
        <v>Ninguna</v>
      </c>
      <c r="AX267" s="87" t="s">
        <v>75</v>
      </c>
      <c r="AY267" s="87"/>
      <c r="AZ267" s="87"/>
      <c r="BA267" s="91" t="s">
        <v>1353</v>
      </c>
      <c r="BB267" s="84"/>
      <c r="BC267" s="85"/>
      <c r="BD267" s="85"/>
    </row>
    <row r="268" spans="1:56" s="86" customFormat="1" ht="46.5" customHeight="1">
      <c r="A268" s="78">
        <v>263</v>
      </c>
      <c r="B268" s="79" t="s">
        <v>1354</v>
      </c>
      <c r="C268" s="88">
        <v>45392</v>
      </c>
      <c r="D268" s="89">
        <v>0.35416666666666669</v>
      </c>
      <c r="E268" s="87" t="s">
        <v>58</v>
      </c>
      <c r="F268" s="87" t="s">
        <v>61</v>
      </c>
      <c r="G268" s="87" t="s">
        <v>62</v>
      </c>
      <c r="H268" s="90" t="s">
        <v>1355</v>
      </c>
      <c r="I268" s="90" t="s">
        <v>172</v>
      </c>
      <c r="J268" s="87" t="s">
        <v>119</v>
      </c>
      <c r="K268" s="87" t="s">
        <v>610</v>
      </c>
      <c r="L268" s="90" t="s">
        <v>1177</v>
      </c>
      <c r="M268" s="91">
        <v>3228806919</v>
      </c>
      <c r="N268" s="90" t="s">
        <v>935</v>
      </c>
      <c r="O268" s="90" t="str">
        <f t="shared" si="32"/>
        <v>Ciudad Bolívar</v>
      </c>
      <c r="P268" s="87" t="s">
        <v>107</v>
      </c>
      <c r="Q268" s="87"/>
      <c r="R268" s="87"/>
      <c r="S268" s="87"/>
      <c r="T268" s="87"/>
      <c r="U268" s="87"/>
      <c r="V268" s="90" t="str">
        <f t="shared" si="33"/>
        <v>Suroriente</v>
      </c>
      <c r="W268" s="87" t="s">
        <v>108</v>
      </c>
      <c r="X268" s="87"/>
      <c r="Y268" s="87"/>
      <c r="Z268" s="87"/>
      <c r="AA268" s="87"/>
      <c r="AB268" s="87"/>
      <c r="AC268" s="90" t="str">
        <f t="shared" si="34"/>
        <v>Lucero, Arborizadora</v>
      </c>
      <c r="AD268" s="87" t="s">
        <v>111</v>
      </c>
      <c r="AE268" s="87" t="s">
        <v>110</v>
      </c>
      <c r="AF268" s="87"/>
      <c r="AG268" s="87"/>
      <c r="AH268" s="87"/>
      <c r="AI268" s="87"/>
      <c r="AJ268" s="87"/>
      <c r="AK268" s="87"/>
      <c r="AL268" s="87"/>
      <c r="AM268" s="87"/>
      <c r="AN268" s="90" t="s">
        <v>1356</v>
      </c>
      <c r="AO268" s="90" t="s">
        <v>1357</v>
      </c>
      <c r="AP268" s="82"/>
      <c r="AQ268" s="87" t="s">
        <v>60</v>
      </c>
      <c r="AR268" s="87" t="s">
        <v>398</v>
      </c>
      <c r="AS268" s="82"/>
      <c r="AT268" s="87">
        <v>24</v>
      </c>
      <c r="AU268" s="87">
        <v>2</v>
      </c>
      <c r="AV268" s="87">
        <f t="shared" si="5"/>
        <v>26</v>
      </c>
      <c r="AW268" s="87" t="str">
        <f t="shared" si="31"/>
        <v>Ninguna</v>
      </c>
      <c r="AX268" s="87" t="s">
        <v>75</v>
      </c>
      <c r="AY268" s="87"/>
      <c r="AZ268" s="87"/>
      <c r="BA268" s="91" t="s">
        <v>1358</v>
      </c>
      <c r="BB268" s="84"/>
      <c r="BC268" s="85"/>
      <c r="BD268" s="85"/>
    </row>
    <row r="269" spans="1:56" s="86" customFormat="1" ht="46.5" customHeight="1">
      <c r="A269" s="87">
        <v>264</v>
      </c>
      <c r="B269" s="79" t="s">
        <v>655</v>
      </c>
      <c r="C269" s="88">
        <v>45392</v>
      </c>
      <c r="D269" s="89">
        <v>0.41666666666666669</v>
      </c>
      <c r="E269" s="87" t="s">
        <v>93</v>
      </c>
      <c r="F269" s="87" t="s">
        <v>321</v>
      </c>
      <c r="G269" s="87" t="s">
        <v>62</v>
      </c>
      <c r="H269" s="90" t="s">
        <v>1359</v>
      </c>
      <c r="I269" s="90" t="s">
        <v>64</v>
      </c>
      <c r="J269" s="87" t="s">
        <v>70</v>
      </c>
      <c r="K269" s="87" t="s">
        <v>324</v>
      </c>
      <c r="L269" s="90" t="s">
        <v>657</v>
      </c>
      <c r="M269" s="91">
        <v>3002578468</v>
      </c>
      <c r="N269" s="90" t="s">
        <v>1317</v>
      </c>
      <c r="O269" s="90" t="str">
        <f t="shared" si="32"/>
        <v>Antonio Nariño</v>
      </c>
      <c r="P269" s="87" t="s">
        <v>413</v>
      </c>
      <c r="Q269" s="87"/>
      <c r="R269" s="87"/>
      <c r="S269" s="87"/>
      <c r="T269" s="87"/>
      <c r="U269" s="87"/>
      <c r="V269" s="90" t="str">
        <f t="shared" si="33"/>
        <v>Centro Ampliado</v>
      </c>
      <c r="W269" s="87" t="s">
        <v>415</v>
      </c>
      <c r="X269" s="87"/>
      <c r="Y269" s="87"/>
      <c r="Z269" s="87"/>
      <c r="AA269" s="87"/>
      <c r="AB269" s="87"/>
      <c r="AC269" s="90" t="str">
        <f t="shared" si="34"/>
        <v>Restrepo</v>
      </c>
      <c r="AD269" s="87" t="s">
        <v>416</v>
      </c>
      <c r="AE269" s="87"/>
      <c r="AF269" s="87"/>
      <c r="AG269" s="87"/>
      <c r="AH269" s="87"/>
      <c r="AI269" s="87"/>
      <c r="AJ269" s="87"/>
      <c r="AK269" s="87"/>
      <c r="AL269" s="87"/>
      <c r="AM269" s="87"/>
      <c r="AN269" s="90" t="s">
        <v>413</v>
      </c>
      <c r="AO269" s="90" t="s">
        <v>1360</v>
      </c>
      <c r="AP269" s="82"/>
      <c r="AQ269" s="87" t="s">
        <v>59</v>
      </c>
      <c r="AR269" s="87" t="s">
        <v>80</v>
      </c>
      <c r="AS269" s="82"/>
      <c r="AT269" s="87">
        <v>21</v>
      </c>
      <c r="AU269" s="87">
        <v>1</v>
      </c>
      <c r="AV269" s="87">
        <f t="shared" si="5"/>
        <v>22</v>
      </c>
      <c r="AW269" s="87" t="str">
        <f t="shared" si="31"/>
        <v>Accesibilidad Universal, Horarios Acordes, Contenidos adaptados</v>
      </c>
      <c r="AX269" s="87" t="s">
        <v>246</v>
      </c>
      <c r="AY269" s="87" t="s">
        <v>213</v>
      </c>
      <c r="AZ269" s="87" t="s">
        <v>212</v>
      </c>
      <c r="BA269" s="91" t="s">
        <v>1361</v>
      </c>
      <c r="BB269" s="84"/>
      <c r="BC269" s="85"/>
      <c r="BD269" s="85"/>
    </row>
    <row r="270" spans="1:56" s="86" customFormat="1" ht="46.5" customHeight="1">
      <c r="A270" s="78">
        <v>265</v>
      </c>
      <c r="B270" s="79" t="s">
        <v>597</v>
      </c>
      <c r="C270" s="88">
        <v>45392</v>
      </c>
      <c r="D270" s="89">
        <v>0.58333333333333337</v>
      </c>
      <c r="E270" s="87" t="s">
        <v>93</v>
      </c>
      <c r="F270" s="87" t="s">
        <v>321</v>
      </c>
      <c r="G270" s="87" t="s">
        <v>62</v>
      </c>
      <c r="H270" s="90" t="s">
        <v>1362</v>
      </c>
      <c r="I270" s="90" t="s">
        <v>64</v>
      </c>
      <c r="J270" s="87" t="s">
        <v>70</v>
      </c>
      <c r="K270" s="87" t="s">
        <v>324</v>
      </c>
      <c r="L270" s="90" t="s">
        <v>1363</v>
      </c>
      <c r="M270" s="91">
        <v>3112444732</v>
      </c>
      <c r="N270" s="90" t="s">
        <v>1125</v>
      </c>
      <c r="O270" s="90" t="str">
        <f t="shared" si="32"/>
        <v>Rafael Uribe Uribe</v>
      </c>
      <c r="P270" s="87" t="s">
        <v>414</v>
      </c>
      <c r="Q270" s="87"/>
      <c r="R270" s="87"/>
      <c r="S270" s="87"/>
      <c r="T270" s="87"/>
      <c r="U270" s="87"/>
      <c r="V270" s="90" t="str">
        <f t="shared" si="33"/>
        <v>Suroriente</v>
      </c>
      <c r="W270" s="87" t="s">
        <v>108</v>
      </c>
      <c r="X270" s="87"/>
      <c r="Y270" s="87"/>
      <c r="Z270" s="87"/>
      <c r="AA270" s="87"/>
      <c r="AB270" s="87"/>
      <c r="AC270" s="90" t="str">
        <f t="shared" si="34"/>
        <v>Restrepo, Rafael Uribe, San Cristobal</v>
      </c>
      <c r="AD270" s="87" t="s">
        <v>416</v>
      </c>
      <c r="AE270" s="87" t="s">
        <v>467</v>
      </c>
      <c r="AF270" s="87" t="s">
        <v>371</v>
      </c>
      <c r="AG270" s="87"/>
      <c r="AH270" s="87"/>
      <c r="AI270" s="87"/>
      <c r="AJ270" s="87"/>
      <c r="AK270" s="87"/>
      <c r="AL270" s="87"/>
      <c r="AM270" s="87"/>
      <c r="AN270" s="90" t="s">
        <v>1364</v>
      </c>
      <c r="AO270" s="90" t="s">
        <v>1365</v>
      </c>
      <c r="AP270" s="82"/>
      <c r="AQ270" s="87" t="s">
        <v>59</v>
      </c>
      <c r="AR270" s="87" t="s">
        <v>80</v>
      </c>
      <c r="AS270" s="82"/>
      <c r="AT270" s="87">
        <v>8</v>
      </c>
      <c r="AU270" s="87">
        <v>1</v>
      </c>
      <c r="AV270" s="87">
        <f t="shared" si="5"/>
        <v>9</v>
      </c>
      <c r="AW270" s="87" t="str">
        <f t="shared" si="31"/>
        <v>Ninguna</v>
      </c>
      <c r="AX270" s="87" t="s">
        <v>75</v>
      </c>
      <c r="AY270" s="87"/>
      <c r="AZ270" s="87"/>
      <c r="BA270" s="91" t="s">
        <v>1366</v>
      </c>
      <c r="BB270" s="84"/>
      <c r="BC270" s="85"/>
      <c r="BD270" s="85"/>
    </row>
    <row r="271" spans="1:56" s="86" customFormat="1" ht="46.5" customHeight="1">
      <c r="A271" s="87">
        <v>266</v>
      </c>
      <c r="B271" s="79" t="s">
        <v>1367</v>
      </c>
      <c r="C271" s="88">
        <v>45392</v>
      </c>
      <c r="D271" s="89">
        <v>0.625</v>
      </c>
      <c r="E271" s="87" t="s">
        <v>58</v>
      </c>
      <c r="F271" s="87" t="s">
        <v>61</v>
      </c>
      <c r="G271" s="87" t="s">
        <v>62</v>
      </c>
      <c r="H271" s="90" t="s">
        <v>1368</v>
      </c>
      <c r="I271" s="90" t="s">
        <v>188</v>
      </c>
      <c r="J271" s="87" t="s">
        <v>119</v>
      </c>
      <c r="K271" s="87" t="s">
        <v>1369</v>
      </c>
      <c r="L271" s="90" t="s">
        <v>1370</v>
      </c>
      <c r="M271" s="91" t="s">
        <v>1317</v>
      </c>
      <c r="N271" s="90" t="s">
        <v>1316</v>
      </c>
      <c r="O271" s="90" t="str">
        <f t="shared" si="32"/>
        <v>Suba</v>
      </c>
      <c r="P271" s="87" t="s">
        <v>394</v>
      </c>
      <c r="Q271" s="87"/>
      <c r="R271" s="87"/>
      <c r="S271" s="87"/>
      <c r="T271" s="87"/>
      <c r="U271" s="87"/>
      <c r="V271" s="90" t="str">
        <f t="shared" si="33"/>
        <v>Noroccidente</v>
      </c>
      <c r="W271" s="87" t="s">
        <v>395</v>
      </c>
      <c r="X271" s="87"/>
      <c r="Y271" s="87"/>
      <c r="Z271" s="87"/>
      <c r="AA271" s="87"/>
      <c r="AB271" s="87"/>
      <c r="AC271" s="90" t="str">
        <f t="shared" si="34"/>
        <v>Suba</v>
      </c>
      <c r="AD271" s="87" t="s">
        <v>394</v>
      </c>
      <c r="AE271" s="87"/>
      <c r="AF271" s="87"/>
      <c r="AG271" s="87"/>
      <c r="AH271" s="87"/>
      <c r="AI271" s="87"/>
      <c r="AJ271" s="87"/>
      <c r="AK271" s="87"/>
      <c r="AL271" s="87"/>
      <c r="AM271" s="87"/>
      <c r="AN271" s="90" t="s">
        <v>394</v>
      </c>
      <c r="AO271" s="90" t="s">
        <v>1371</v>
      </c>
      <c r="AP271" s="82"/>
      <c r="AQ271" s="87" t="s">
        <v>60</v>
      </c>
      <c r="AR271" s="87" t="s">
        <v>77</v>
      </c>
      <c r="AS271" s="82"/>
      <c r="AT271" s="87">
        <v>14</v>
      </c>
      <c r="AU271" s="87">
        <v>1</v>
      </c>
      <c r="AV271" s="87">
        <f t="shared" si="5"/>
        <v>15</v>
      </c>
      <c r="AW271" s="87" t="str">
        <f t="shared" si="31"/>
        <v>Ninguna</v>
      </c>
      <c r="AX271" s="87" t="s">
        <v>75</v>
      </c>
      <c r="AY271" s="87"/>
      <c r="AZ271" s="87"/>
      <c r="BA271" s="91" t="s">
        <v>1372</v>
      </c>
      <c r="BB271" s="84"/>
      <c r="BC271" s="85"/>
      <c r="BD271" s="85"/>
    </row>
    <row r="272" spans="1:56" s="86" customFormat="1" ht="46.5" customHeight="1">
      <c r="A272" s="78">
        <v>267</v>
      </c>
      <c r="B272" s="79" t="s">
        <v>699</v>
      </c>
      <c r="C272" s="88">
        <v>45393</v>
      </c>
      <c r="D272" s="89">
        <v>0.35416666666666669</v>
      </c>
      <c r="E272" s="87" t="s">
        <v>93</v>
      </c>
      <c r="F272" s="87" t="s">
        <v>321</v>
      </c>
      <c r="G272" s="87" t="s">
        <v>62</v>
      </c>
      <c r="H272" s="90" t="s">
        <v>1373</v>
      </c>
      <c r="I272" s="90" t="s">
        <v>64</v>
      </c>
      <c r="J272" s="87" t="s">
        <v>70</v>
      </c>
      <c r="K272" s="87" t="s">
        <v>324</v>
      </c>
      <c r="L272" s="90" t="s">
        <v>1374</v>
      </c>
      <c r="M272" s="91">
        <v>3132133446</v>
      </c>
      <c r="N272" s="90" t="s">
        <v>703</v>
      </c>
      <c r="O272" s="90" t="str">
        <f t="shared" si="32"/>
        <v>Bosa</v>
      </c>
      <c r="P272" s="87" t="s">
        <v>472</v>
      </c>
      <c r="Q272" s="87"/>
      <c r="R272" s="87"/>
      <c r="S272" s="87"/>
      <c r="T272" s="87"/>
      <c r="U272" s="87"/>
      <c r="V272" s="90" t="str">
        <f t="shared" si="33"/>
        <v>Suroccidente</v>
      </c>
      <c r="W272" s="87" t="s">
        <v>474</v>
      </c>
      <c r="X272" s="87"/>
      <c r="Y272" s="87"/>
      <c r="Z272" s="87"/>
      <c r="AA272" s="87"/>
      <c r="AB272" s="87"/>
      <c r="AC272" s="90" t="str">
        <f t="shared" si="34"/>
        <v>Bosa, Edén, Porvenir</v>
      </c>
      <c r="AD272" s="87" t="s">
        <v>472</v>
      </c>
      <c r="AE272" s="87" t="s">
        <v>704</v>
      </c>
      <c r="AF272" s="87" t="s">
        <v>705</v>
      </c>
      <c r="AG272" s="87"/>
      <c r="AH272" s="87"/>
      <c r="AI272" s="87"/>
      <c r="AJ272" s="87"/>
      <c r="AK272" s="87"/>
      <c r="AL272" s="87"/>
      <c r="AM272" s="87"/>
      <c r="AN272" s="90" t="s">
        <v>1375</v>
      </c>
      <c r="AO272" s="90" t="s">
        <v>1376</v>
      </c>
      <c r="AP272" s="82"/>
      <c r="AQ272" s="87" t="s">
        <v>59</v>
      </c>
      <c r="AR272" s="87" t="s">
        <v>80</v>
      </c>
      <c r="AS272" s="82"/>
      <c r="AT272" s="87">
        <v>16</v>
      </c>
      <c r="AU272" s="87">
        <v>1</v>
      </c>
      <c r="AV272" s="87">
        <f t="shared" si="5"/>
        <v>17</v>
      </c>
      <c r="AW272" s="87" t="str">
        <f t="shared" si="31"/>
        <v>Ninguna</v>
      </c>
      <c r="AX272" s="87" t="s">
        <v>75</v>
      </c>
      <c r="AY272" s="87"/>
      <c r="AZ272" s="87"/>
      <c r="BA272" s="91" t="s">
        <v>1377</v>
      </c>
      <c r="BB272" s="84"/>
      <c r="BC272" s="85"/>
      <c r="BD272" s="85"/>
    </row>
    <row r="273" spans="1:56" s="86" customFormat="1" ht="46.5" customHeight="1">
      <c r="A273" s="87">
        <v>268</v>
      </c>
      <c r="B273" s="79" t="s">
        <v>1378</v>
      </c>
      <c r="C273" s="88">
        <v>45393</v>
      </c>
      <c r="D273" s="95">
        <v>0.375</v>
      </c>
      <c r="E273" s="87" t="s">
        <v>58</v>
      </c>
      <c r="F273" s="87" t="s">
        <v>135</v>
      </c>
      <c r="G273" s="87" t="s">
        <v>95</v>
      </c>
      <c r="H273" s="90" t="s">
        <v>1379</v>
      </c>
      <c r="I273" s="90" t="s">
        <v>64</v>
      </c>
      <c r="J273" s="87" t="s">
        <v>70</v>
      </c>
      <c r="K273" s="87" t="s">
        <v>71</v>
      </c>
      <c r="L273" s="90" t="s">
        <v>72</v>
      </c>
      <c r="M273" s="91" t="s">
        <v>72</v>
      </c>
      <c r="N273" s="90" t="s">
        <v>72</v>
      </c>
      <c r="O273" s="90" t="str">
        <f t="shared" si="32"/>
        <v>Distrital</v>
      </c>
      <c r="P273" s="87" t="s">
        <v>73</v>
      </c>
      <c r="Q273" s="87"/>
      <c r="R273" s="87"/>
      <c r="S273" s="87"/>
      <c r="T273" s="87"/>
      <c r="U273" s="87"/>
      <c r="V273" s="90" t="str">
        <f t="shared" si="33"/>
        <v>Distrital</v>
      </c>
      <c r="W273" s="87" t="s">
        <v>73</v>
      </c>
      <c r="X273" s="87"/>
      <c r="Y273" s="87"/>
      <c r="Z273" s="87"/>
      <c r="AA273" s="87"/>
      <c r="AB273" s="87"/>
      <c r="AC273" s="90" t="str">
        <f t="shared" si="34"/>
        <v>Distrital</v>
      </c>
      <c r="AD273" s="87" t="s">
        <v>73</v>
      </c>
      <c r="AE273" s="87"/>
      <c r="AF273" s="87"/>
      <c r="AG273" s="87"/>
      <c r="AH273" s="87"/>
      <c r="AI273" s="87"/>
      <c r="AJ273" s="87"/>
      <c r="AK273" s="87"/>
      <c r="AL273" s="87"/>
      <c r="AM273" s="87"/>
      <c r="AN273" s="90" t="s">
        <v>80</v>
      </c>
      <c r="AO273" s="92" t="s">
        <v>1380</v>
      </c>
      <c r="AP273" s="82"/>
      <c r="AQ273" s="87" t="s">
        <v>60</v>
      </c>
      <c r="AR273" s="87" t="s">
        <v>77</v>
      </c>
      <c r="AS273" s="82"/>
      <c r="AT273" s="87">
        <v>1</v>
      </c>
      <c r="AU273" s="87">
        <v>3</v>
      </c>
      <c r="AV273" s="87">
        <f t="shared" si="5"/>
        <v>4</v>
      </c>
      <c r="AW273" s="87" t="str">
        <f t="shared" si="31"/>
        <v>Ninguna</v>
      </c>
      <c r="AX273" s="87" t="s">
        <v>75</v>
      </c>
      <c r="AY273" s="87"/>
      <c r="AZ273" s="87"/>
      <c r="BA273" s="91" t="s">
        <v>1381</v>
      </c>
      <c r="BB273" s="84"/>
      <c r="BC273" s="85"/>
      <c r="BD273" s="85"/>
    </row>
    <row r="274" spans="1:56" s="86" customFormat="1" ht="46.5" customHeight="1">
      <c r="A274" s="78">
        <v>269</v>
      </c>
      <c r="B274" s="79" t="s">
        <v>1382</v>
      </c>
      <c r="C274" s="88">
        <v>45393</v>
      </c>
      <c r="D274" s="89">
        <v>0.625</v>
      </c>
      <c r="E274" s="87" t="s">
        <v>58</v>
      </c>
      <c r="F274" s="87" t="s">
        <v>116</v>
      </c>
      <c r="G274" s="87" t="s">
        <v>62</v>
      </c>
      <c r="H274" s="90" t="s">
        <v>1383</v>
      </c>
      <c r="I274" s="90" t="s">
        <v>118</v>
      </c>
      <c r="J274" s="87" t="s">
        <v>119</v>
      </c>
      <c r="K274" s="87" t="s">
        <v>120</v>
      </c>
      <c r="L274" s="90" t="s">
        <v>1384</v>
      </c>
      <c r="M274" s="91">
        <v>3113406771</v>
      </c>
      <c r="N274" s="90" t="s">
        <v>1385</v>
      </c>
      <c r="O274" s="90" t="str">
        <f t="shared" si="32"/>
        <v>Engativá</v>
      </c>
      <c r="P274" s="87" t="s">
        <v>123</v>
      </c>
      <c r="Q274" s="87"/>
      <c r="R274" s="87"/>
      <c r="S274" s="87"/>
      <c r="T274" s="87"/>
      <c r="U274" s="87"/>
      <c r="V274" s="90" t="str">
        <f t="shared" si="33"/>
        <v>Occidente</v>
      </c>
      <c r="W274" s="87" t="s">
        <v>124</v>
      </c>
      <c r="X274" s="87"/>
      <c r="Y274" s="87"/>
      <c r="Z274" s="87"/>
      <c r="AA274" s="87"/>
      <c r="AB274" s="87"/>
      <c r="AC274" s="90" t="str">
        <f t="shared" si="34"/>
        <v>Engativá</v>
      </c>
      <c r="AD274" s="87" t="s">
        <v>123</v>
      </c>
      <c r="AE274" s="87"/>
      <c r="AF274" s="87"/>
      <c r="AG274" s="87"/>
      <c r="AH274" s="87"/>
      <c r="AI274" s="87"/>
      <c r="AJ274" s="87"/>
      <c r="AK274" s="87"/>
      <c r="AL274" s="87"/>
      <c r="AM274" s="87"/>
      <c r="AN274" s="90" t="s">
        <v>1386</v>
      </c>
      <c r="AO274" s="90" t="s">
        <v>1386</v>
      </c>
      <c r="AP274" s="82"/>
      <c r="AQ274" s="87" t="s">
        <v>59</v>
      </c>
      <c r="AR274" s="87" t="s">
        <v>80</v>
      </c>
      <c r="AS274" s="82"/>
      <c r="AT274" s="87">
        <v>15</v>
      </c>
      <c r="AU274" s="87">
        <v>2</v>
      </c>
      <c r="AV274" s="87">
        <f t="shared" si="5"/>
        <v>17</v>
      </c>
      <c r="AW274" s="87" t="str">
        <f t="shared" si="31"/>
        <v>Ninguna</v>
      </c>
      <c r="AX274" s="87" t="s">
        <v>75</v>
      </c>
      <c r="AY274" s="87"/>
      <c r="AZ274" s="87"/>
      <c r="BA274" s="91" t="s">
        <v>1387</v>
      </c>
      <c r="BB274" s="84"/>
      <c r="BC274" s="85"/>
      <c r="BD274" s="85"/>
    </row>
    <row r="275" spans="1:56" s="86" customFormat="1" ht="46.5" customHeight="1">
      <c r="A275" s="87">
        <v>270</v>
      </c>
      <c r="B275" s="79" t="s">
        <v>1388</v>
      </c>
      <c r="C275" s="88">
        <v>45393</v>
      </c>
      <c r="D275" s="89">
        <v>0.58333333333333337</v>
      </c>
      <c r="E275" s="87" t="s">
        <v>58</v>
      </c>
      <c r="F275" s="87" t="s">
        <v>61</v>
      </c>
      <c r="G275" s="87" t="s">
        <v>62</v>
      </c>
      <c r="H275" s="90" t="s">
        <v>1389</v>
      </c>
      <c r="I275" s="90" t="s">
        <v>172</v>
      </c>
      <c r="J275" s="87" t="s">
        <v>119</v>
      </c>
      <c r="K275" s="87"/>
      <c r="L275" s="90" t="s">
        <v>1177</v>
      </c>
      <c r="M275" s="91">
        <v>3228806919</v>
      </c>
      <c r="N275" s="90" t="s">
        <v>1390</v>
      </c>
      <c r="O275" s="90" t="str">
        <f t="shared" si="32"/>
        <v>Distrital</v>
      </c>
      <c r="P275" s="87" t="s">
        <v>73</v>
      </c>
      <c r="Q275" s="87"/>
      <c r="R275" s="87"/>
      <c r="S275" s="87"/>
      <c r="T275" s="87"/>
      <c r="U275" s="87"/>
      <c r="V275" s="90" t="str">
        <f t="shared" si="33"/>
        <v>Distrital</v>
      </c>
      <c r="W275" s="87" t="s">
        <v>73</v>
      </c>
      <c r="X275" s="87"/>
      <c r="Y275" s="87"/>
      <c r="Z275" s="87"/>
      <c r="AA275" s="87"/>
      <c r="AB275" s="87"/>
      <c r="AC275" s="90" t="str">
        <f t="shared" si="34"/>
        <v>Distrital</v>
      </c>
      <c r="AD275" s="87" t="s">
        <v>73</v>
      </c>
      <c r="AE275" s="87"/>
      <c r="AF275" s="87"/>
      <c r="AG275" s="87"/>
      <c r="AH275" s="87"/>
      <c r="AI275" s="87"/>
      <c r="AJ275" s="87"/>
      <c r="AK275" s="87"/>
      <c r="AL275" s="87"/>
      <c r="AM275" s="87"/>
      <c r="AN275" s="90" t="s">
        <v>160</v>
      </c>
      <c r="AO275" s="90" t="s">
        <v>1391</v>
      </c>
      <c r="AP275" s="82"/>
      <c r="AQ275" s="87" t="s">
        <v>60</v>
      </c>
      <c r="AR275" s="87" t="s">
        <v>398</v>
      </c>
      <c r="AS275" s="82"/>
      <c r="AT275" s="87">
        <v>10</v>
      </c>
      <c r="AU275" s="87">
        <v>2</v>
      </c>
      <c r="AV275" s="87">
        <f t="shared" si="5"/>
        <v>12</v>
      </c>
      <c r="AW275" s="87" t="str">
        <f t="shared" si="31"/>
        <v>Ninguna</v>
      </c>
      <c r="AX275" s="87" t="s">
        <v>75</v>
      </c>
      <c r="AY275" s="87"/>
      <c r="AZ275" s="87"/>
      <c r="BA275" s="91" t="s">
        <v>1392</v>
      </c>
      <c r="BB275" s="84"/>
      <c r="BC275" s="85"/>
      <c r="BD275" s="85"/>
    </row>
    <row r="276" spans="1:56" s="86" customFormat="1" ht="46.5" customHeight="1">
      <c r="A276" s="78">
        <v>271</v>
      </c>
      <c r="B276" s="79" t="s">
        <v>1393</v>
      </c>
      <c r="C276" s="88">
        <v>45393</v>
      </c>
      <c r="D276" s="89">
        <v>0.58333333333333337</v>
      </c>
      <c r="E276" s="87" t="s">
        <v>58</v>
      </c>
      <c r="F276" s="87" t="s">
        <v>61</v>
      </c>
      <c r="G276" s="87" t="s">
        <v>62</v>
      </c>
      <c r="H276" s="90" t="s">
        <v>1394</v>
      </c>
      <c r="I276" s="90" t="s">
        <v>172</v>
      </c>
      <c r="J276" s="87" t="s">
        <v>119</v>
      </c>
      <c r="K276" s="87" t="s">
        <v>209</v>
      </c>
      <c r="L276" s="90" t="s">
        <v>1070</v>
      </c>
      <c r="M276" s="91">
        <v>3125641672</v>
      </c>
      <c r="N276" s="90" t="s">
        <v>1305</v>
      </c>
      <c r="O276" s="90" t="str">
        <f t="shared" si="32"/>
        <v>Distrital</v>
      </c>
      <c r="P276" s="87" t="s">
        <v>73</v>
      </c>
      <c r="Q276" s="87"/>
      <c r="R276" s="87"/>
      <c r="S276" s="87"/>
      <c r="T276" s="87"/>
      <c r="U276" s="87"/>
      <c r="V276" s="90" t="str">
        <f t="shared" si="33"/>
        <v>Distrital</v>
      </c>
      <c r="W276" s="87" t="s">
        <v>73</v>
      </c>
      <c r="X276" s="87"/>
      <c r="Y276" s="87"/>
      <c r="Z276" s="87"/>
      <c r="AA276" s="87"/>
      <c r="AB276" s="87"/>
      <c r="AC276" s="90" t="str">
        <f t="shared" si="34"/>
        <v>Distrital</v>
      </c>
      <c r="AD276" s="87" t="s">
        <v>73</v>
      </c>
      <c r="AE276" s="87"/>
      <c r="AF276" s="87"/>
      <c r="AG276" s="87"/>
      <c r="AH276" s="87"/>
      <c r="AI276" s="87"/>
      <c r="AJ276" s="87"/>
      <c r="AK276" s="87"/>
      <c r="AL276" s="87"/>
      <c r="AM276" s="87"/>
      <c r="AN276" s="90" t="s">
        <v>160</v>
      </c>
      <c r="AO276" s="90" t="s">
        <v>1395</v>
      </c>
      <c r="AP276" s="82"/>
      <c r="AQ276" s="87" t="s">
        <v>60</v>
      </c>
      <c r="AR276" s="87" t="s">
        <v>398</v>
      </c>
      <c r="AS276" s="82"/>
      <c r="AT276" s="87">
        <v>19</v>
      </c>
      <c r="AU276" s="87">
        <v>2</v>
      </c>
      <c r="AV276" s="87">
        <f t="shared" si="5"/>
        <v>21</v>
      </c>
      <c r="AW276" s="87" t="str">
        <f t="shared" si="31"/>
        <v>Ninguna</v>
      </c>
      <c r="AX276" s="87" t="s">
        <v>75</v>
      </c>
      <c r="AY276" s="87"/>
      <c r="AZ276" s="87"/>
      <c r="BA276" s="91" t="s">
        <v>1396</v>
      </c>
      <c r="BB276" s="84"/>
      <c r="BC276" s="85"/>
      <c r="BD276" s="85"/>
    </row>
    <row r="277" spans="1:56" s="86" customFormat="1" ht="46.5" customHeight="1">
      <c r="A277" s="87">
        <v>272</v>
      </c>
      <c r="B277" s="79" t="s">
        <v>1397</v>
      </c>
      <c r="C277" s="88">
        <v>45393</v>
      </c>
      <c r="D277" s="89">
        <v>0.70833333333333337</v>
      </c>
      <c r="E277" s="87" t="s">
        <v>93</v>
      </c>
      <c r="F277" s="87" t="s">
        <v>102</v>
      </c>
      <c r="G277" s="87" t="s">
        <v>95</v>
      </c>
      <c r="H277" s="90" t="s">
        <v>1398</v>
      </c>
      <c r="I277" s="90" t="s">
        <v>118</v>
      </c>
      <c r="J277" s="87" t="s">
        <v>119</v>
      </c>
      <c r="K277" s="87" t="s">
        <v>129</v>
      </c>
      <c r="L277" s="90" t="s">
        <v>1286</v>
      </c>
      <c r="M277" s="91">
        <v>3108148740</v>
      </c>
      <c r="N277" s="90" t="s">
        <v>439</v>
      </c>
      <c r="O277" s="90" t="str">
        <f t="shared" si="32"/>
        <v>Distrital</v>
      </c>
      <c r="P277" s="87" t="s">
        <v>73</v>
      </c>
      <c r="Q277" s="87"/>
      <c r="R277" s="87"/>
      <c r="S277" s="87"/>
      <c r="T277" s="87"/>
      <c r="U277" s="87"/>
      <c r="V277" s="90" t="str">
        <f t="shared" si="33"/>
        <v>Distrital</v>
      </c>
      <c r="W277" s="87" t="s">
        <v>73</v>
      </c>
      <c r="X277" s="87"/>
      <c r="Y277" s="87"/>
      <c r="Z277" s="87"/>
      <c r="AA277" s="87"/>
      <c r="AB277" s="87"/>
      <c r="AC277" s="90" t="str">
        <f t="shared" si="34"/>
        <v>Distrital</v>
      </c>
      <c r="AD277" s="87" t="s">
        <v>73</v>
      </c>
      <c r="AE277" s="87"/>
      <c r="AF277" s="87"/>
      <c r="AG277" s="87"/>
      <c r="AH277" s="87"/>
      <c r="AI277" s="87"/>
      <c r="AJ277" s="87"/>
      <c r="AK277" s="87"/>
      <c r="AL277" s="87"/>
      <c r="AM277" s="87"/>
      <c r="AN277" s="90" t="s">
        <v>160</v>
      </c>
      <c r="AO277" s="92" t="s">
        <v>1399</v>
      </c>
      <c r="AP277" s="82"/>
      <c r="AQ277" s="87" t="s">
        <v>59</v>
      </c>
      <c r="AR277" s="87" t="s">
        <v>80</v>
      </c>
      <c r="AS277" s="82"/>
      <c r="AT277" s="87">
        <v>33</v>
      </c>
      <c r="AU277" s="87">
        <v>2</v>
      </c>
      <c r="AV277" s="87">
        <f t="shared" si="5"/>
        <v>35</v>
      </c>
      <c r="AW277" s="87" t="str">
        <f t="shared" si="31"/>
        <v>Ninguna</v>
      </c>
      <c r="AX277" s="87" t="s">
        <v>75</v>
      </c>
      <c r="AY277" s="87"/>
      <c r="AZ277" s="87"/>
      <c r="BA277" s="91" t="s">
        <v>1400</v>
      </c>
      <c r="BB277" s="84"/>
      <c r="BC277" s="85"/>
      <c r="BD277" s="85"/>
    </row>
    <row r="278" spans="1:56" s="86" customFormat="1" ht="46.5" customHeight="1">
      <c r="A278" s="78">
        <v>273</v>
      </c>
      <c r="B278" s="79" t="s">
        <v>1401</v>
      </c>
      <c r="C278" s="88">
        <v>45394</v>
      </c>
      <c r="D278" s="89">
        <v>0.375</v>
      </c>
      <c r="E278" s="87" t="s">
        <v>58</v>
      </c>
      <c r="F278" s="87" t="s">
        <v>61</v>
      </c>
      <c r="G278" s="87" t="s">
        <v>62</v>
      </c>
      <c r="H278" s="90" t="s">
        <v>878</v>
      </c>
      <c r="I278" s="90" t="s">
        <v>193</v>
      </c>
      <c r="J278" s="87" t="s">
        <v>173</v>
      </c>
      <c r="K278" s="87"/>
      <c r="L278" s="90" t="s">
        <v>1402</v>
      </c>
      <c r="M278" s="91" t="s">
        <v>80</v>
      </c>
      <c r="N278" s="90" t="s">
        <v>1403</v>
      </c>
      <c r="O278" s="90" t="str">
        <f t="shared" si="32"/>
        <v>Teusaquillo</v>
      </c>
      <c r="P278" s="87" t="s">
        <v>665</v>
      </c>
      <c r="Q278" s="87"/>
      <c r="R278" s="87"/>
      <c r="S278" s="87"/>
      <c r="T278" s="87"/>
      <c r="U278" s="87"/>
      <c r="V278" s="90" t="str">
        <f t="shared" si="33"/>
        <v>Centro Ampliado</v>
      </c>
      <c r="W278" s="87" t="s">
        <v>415</v>
      </c>
      <c r="X278" s="87"/>
      <c r="Y278" s="87"/>
      <c r="Z278" s="87"/>
      <c r="AA278" s="87"/>
      <c r="AB278" s="87"/>
      <c r="AC278" s="90" t="str">
        <f t="shared" si="34"/>
        <v>Teusaquillo</v>
      </c>
      <c r="AD278" s="87" t="s">
        <v>665</v>
      </c>
      <c r="AE278" s="87"/>
      <c r="AF278" s="87"/>
      <c r="AG278" s="87"/>
      <c r="AH278" s="87"/>
      <c r="AI278" s="87"/>
      <c r="AJ278" s="87"/>
      <c r="AK278" s="87"/>
      <c r="AL278" s="87"/>
      <c r="AM278" s="87"/>
      <c r="AN278" s="90" t="s">
        <v>160</v>
      </c>
      <c r="AO278" s="90" t="s">
        <v>1404</v>
      </c>
      <c r="AP278" s="82"/>
      <c r="AQ278" s="87" t="s">
        <v>60</v>
      </c>
      <c r="AR278" s="87" t="s">
        <v>398</v>
      </c>
      <c r="AS278" s="82"/>
      <c r="AT278" s="87">
        <v>43</v>
      </c>
      <c r="AU278" s="87">
        <v>7</v>
      </c>
      <c r="AV278" s="87">
        <f t="shared" si="5"/>
        <v>50</v>
      </c>
      <c r="AW278" s="87" t="str">
        <f t="shared" si="31"/>
        <v>No Aplica</v>
      </c>
      <c r="AX278" s="87" t="s">
        <v>78</v>
      </c>
      <c r="AY278" s="87"/>
      <c r="AZ278" s="87"/>
      <c r="BA278" s="91" t="s">
        <v>1405</v>
      </c>
      <c r="BB278" s="84"/>
      <c r="BC278" s="85"/>
      <c r="BD278" s="85"/>
    </row>
    <row r="279" spans="1:56" s="86" customFormat="1" ht="46.5" customHeight="1">
      <c r="A279" s="87">
        <v>274</v>
      </c>
      <c r="B279" s="79" t="s">
        <v>1406</v>
      </c>
      <c r="C279" s="88">
        <v>45394</v>
      </c>
      <c r="D279" s="89">
        <v>0.375</v>
      </c>
      <c r="E279" s="87" t="s">
        <v>58</v>
      </c>
      <c r="F279" s="87" t="s">
        <v>61</v>
      </c>
      <c r="G279" s="87" t="s">
        <v>62</v>
      </c>
      <c r="H279" s="90" t="s">
        <v>878</v>
      </c>
      <c r="I279" s="90" t="s">
        <v>193</v>
      </c>
      <c r="J279" s="87" t="s">
        <v>173</v>
      </c>
      <c r="K279" s="87"/>
      <c r="L279" s="90" t="s">
        <v>1316</v>
      </c>
      <c r="M279" s="91" t="s">
        <v>1316</v>
      </c>
      <c r="N279" s="90" t="s">
        <v>1316</v>
      </c>
      <c r="O279" s="90" t="str">
        <f t="shared" si="32"/>
        <v>Teusaquillo</v>
      </c>
      <c r="P279" s="87" t="s">
        <v>665</v>
      </c>
      <c r="Q279" s="87"/>
      <c r="R279" s="87"/>
      <c r="S279" s="87"/>
      <c r="T279" s="87"/>
      <c r="U279" s="87"/>
      <c r="V279" s="90" t="str">
        <f t="shared" si="33"/>
        <v>Centro Ampliado</v>
      </c>
      <c r="W279" s="87" t="s">
        <v>415</v>
      </c>
      <c r="X279" s="87"/>
      <c r="Y279" s="87"/>
      <c r="Z279" s="87"/>
      <c r="AA279" s="87"/>
      <c r="AB279" s="87"/>
      <c r="AC279" s="90" t="str">
        <f t="shared" si="34"/>
        <v>Teusaquillo</v>
      </c>
      <c r="AD279" s="87" t="s">
        <v>665</v>
      </c>
      <c r="AE279" s="87"/>
      <c r="AF279" s="87"/>
      <c r="AG279" s="87"/>
      <c r="AH279" s="87"/>
      <c r="AI279" s="87"/>
      <c r="AJ279" s="87"/>
      <c r="AK279" s="87"/>
      <c r="AL279" s="87"/>
      <c r="AM279" s="87"/>
      <c r="AN279" s="90" t="s">
        <v>665</v>
      </c>
      <c r="AO279" s="90" t="s">
        <v>1407</v>
      </c>
      <c r="AP279" s="82"/>
      <c r="AQ279" s="87" t="s">
        <v>60</v>
      </c>
      <c r="AR279" s="87" t="s">
        <v>398</v>
      </c>
      <c r="AS279" s="82"/>
      <c r="AT279" s="87">
        <v>60</v>
      </c>
      <c r="AU279" s="87">
        <v>7</v>
      </c>
      <c r="AV279" s="87">
        <f t="shared" si="5"/>
        <v>67</v>
      </c>
      <c r="AW279" s="87" t="str">
        <f t="shared" si="31"/>
        <v>Ninguna</v>
      </c>
      <c r="AX279" s="87" t="s">
        <v>75</v>
      </c>
      <c r="AY279" s="87"/>
      <c r="AZ279" s="87"/>
      <c r="BA279" s="91" t="s">
        <v>1408</v>
      </c>
      <c r="BB279" s="84"/>
      <c r="BC279" s="85"/>
      <c r="BD279" s="85"/>
    </row>
    <row r="280" spans="1:56" s="86" customFormat="1" ht="46.5" customHeight="1">
      <c r="A280" s="78">
        <v>275</v>
      </c>
      <c r="B280" s="79" t="s">
        <v>1409</v>
      </c>
      <c r="C280" s="88">
        <v>45394</v>
      </c>
      <c r="D280" s="89">
        <v>0.66666666666666663</v>
      </c>
      <c r="E280" s="87" t="s">
        <v>58</v>
      </c>
      <c r="F280" s="87" t="s">
        <v>61</v>
      </c>
      <c r="G280" s="87" t="s">
        <v>62</v>
      </c>
      <c r="H280" s="90" t="s">
        <v>392</v>
      </c>
      <c r="I280" s="90" t="s">
        <v>193</v>
      </c>
      <c r="J280" s="87" t="s">
        <v>173</v>
      </c>
      <c r="K280" s="87"/>
      <c r="L280" s="90" t="s">
        <v>1410</v>
      </c>
      <c r="M280" s="91">
        <v>3114524563</v>
      </c>
      <c r="N280" s="90" t="s">
        <v>1411</v>
      </c>
      <c r="O280" s="90" t="str">
        <f t="shared" si="32"/>
        <v>Teusaquillo</v>
      </c>
      <c r="P280" s="87" t="s">
        <v>665</v>
      </c>
      <c r="Q280" s="87"/>
      <c r="R280" s="87"/>
      <c r="S280" s="87"/>
      <c r="T280" s="87"/>
      <c r="U280" s="87"/>
      <c r="V280" s="90" t="str">
        <f t="shared" si="33"/>
        <v>Centro Ampliado</v>
      </c>
      <c r="W280" s="87" t="s">
        <v>415</v>
      </c>
      <c r="X280" s="87"/>
      <c r="Y280" s="87"/>
      <c r="Z280" s="87"/>
      <c r="AA280" s="87"/>
      <c r="AB280" s="87"/>
      <c r="AC280" s="90" t="str">
        <f t="shared" si="34"/>
        <v>Teusaquillo</v>
      </c>
      <c r="AD280" s="87" t="s">
        <v>665</v>
      </c>
      <c r="AE280" s="87"/>
      <c r="AF280" s="87"/>
      <c r="AG280" s="87"/>
      <c r="AH280" s="87"/>
      <c r="AI280" s="87"/>
      <c r="AJ280" s="87"/>
      <c r="AK280" s="87"/>
      <c r="AL280" s="87"/>
      <c r="AM280" s="87"/>
      <c r="AN280" s="90" t="s">
        <v>160</v>
      </c>
      <c r="AO280" s="90" t="s">
        <v>1412</v>
      </c>
      <c r="AP280" s="82"/>
      <c r="AQ280" s="87" t="s">
        <v>60</v>
      </c>
      <c r="AR280" s="87" t="s">
        <v>398</v>
      </c>
      <c r="AS280" s="82"/>
      <c r="AT280" s="87">
        <v>41</v>
      </c>
      <c r="AU280" s="87">
        <v>7</v>
      </c>
      <c r="AV280" s="87">
        <f t="shared" si="5"/>
        <v>48</v>
      </c>
      <c r="AW280" s="87" t="str">
        <f t="shared" si="31"/>
        <v>No Aplica</v>
      </c>
      <c r="AX280" s="87" t="s">
        <v>78</v>
      </c>
      <c r="AY280" s="87"/>
      <c r="AZ280" s="87"/>
      <c r="BA280" s="91" t="s">
        <v>1413</v>
      </c>
      <c r="BB280" s="84"/>
      <c r="BC280" s="85"/>
      <c r="BD280" s="85"/>
    </row>
    <row r="281" spans="1:56" s="86" customFormat="1" ht="46.5" customHeight="1">
      <c r="A281" s="87">
        <v>276</v>
      </c>
      <c r="B281" s="79" t="s">
        <v>1414</v>
      </c>
      <c r="C281" s="88">
        <v>45394</v>
      </c>
      <c r="D281" s="89">
        <v>0.41666666666666669</v>
      </c>
      <c r="E281" s="87" t="s">
        <v>58</v>
      </c>
      <c r="F281" s="87" t="s">
        <v>61</v>
      </c>
      <c r="G281" s="87" t="s">
        <v>62</v>
      </c>
      <c r="H281" s="90" t="s">
        <v>878</v>
      </c>
      <c r="I281" s="90" t="s">
        <v>193</v>
      </c>
      <c r="J281" s="87" t="s">
        <v>173</v>
      </c>
      <c r="K281" s="87"/>
      <c r="L281" s="90" t="s">
        <v>1415</v>
      </c>
      <c r="M281" s="91" t="s">
        <v>1416</v>
      </c>
      <c r="N281" s="90" t="s">
        <v>1417</v>
      </c>
      <c r="O281" s="90" t="str">
        <f t="shared" si="32"/>
        <v>Teusaquillo</v>
      </c>
      <c r="P281" s="87" t="s">
        <v>665</v>
      </c>
      <c r="Q281" s="87"/>
      <c r="R281" s="87"/>
      <c r="S281" s="87"/>
      <c r="T281" s="87"/>
      <c r="U281" s="87"/>
      <c r="V281" s="90" t="str">
        <f t="shared" si="33"/>
        <v>Distrital</v>
      </c>
      <c r="W281" s="87" t="s">
        <v>73</v>
      </c>
      <c r="X281" s="87"/>
      <c r="Y281" s="87"/>
      <c r="Z281" s="87"/>
      <c r="AA281" s="87"/>
      <c r="AB281" s="87"/>
      <c r="AC281" s="90" t="str">
        <f t="shared" si="34"/>
        <v>Distrital</v>
      </c>
      <c r="AD281" s="87" t="s">
        <v>73</v>
      </c>
      <c r="AE281" s="87"/>
      <c r="AF281" s="87"/>
      <c r="AG281" s="87"/>
      <c r="AH281" s="87"/>
      <c r="AI281" s="87"/>
      <c r="AJ281" s="87"/>
      <c r="AK281" s="87"/>
      <c r="AL281" s="87"/>
      <c r="AM281" s="87"/>
      <c r="AN281" s="90" t="s">
        <v>160</v>
      </c>
      <c r="AO281" s="90" t="s">
        <v>1418</v>
      </c>
      <c r="AP281" s="82"/>
      <c r="AQ281" s="87" t="s">
        <v>60</v>
      </c>
      <c r="AR281" s="87" t="s">
        <v>398</v>
      </c>
      <c r="AS281" s="82"/>
      <c r="AT281" s="87">
        <v>74</v>
      </c>
      <c r="AU281" s="87">
        <v>7</v>
      </c>
      <c r="AV281" s="87">
        <f t="shared" si="5"/>
        <v>81</v>
      </c>
      <c r="AW281" s="87" t="str">
        <f t="shared" si="31"/>
        <v>Ninguna</v>
      </c>
      <c r="AX281" s="87" t="s">
        <v>75</v>
      </c>
      <c r="AY281" s="87"/>
      <c r="AZ281" s="87"/>
      <c r="BA281" s="91" t="s">
        <v>1419</v>
      </c>
      <c r="BB281" s="84"/>
      <c r="BC281" s="85"/>
      <c r="BD281" s="85"/>
    </row>
    <row r="282" spans="1:56" s="86" customFormat="1" ht="46.5" customHeight="1">
      <c r="A282" s="78">
        <v>277</v>
      </c>
      <c r="B282" s="79" t="s">
        <v>271</v>
      </c>
      <c r="C282" s="88">
        <v>45394</v>
      </c>
      <c r="D282" s="89">
        <v>0.33333333333333331</v>
      </c>
      <c r="E282" s="87" t="s">
        <v>58</v>
      </c>
      <c r="F282" s="87" t="s">
        <v>61</v>
      </c>
      <c r="G282" s="87" t="s">
        <v>95</v>
      </c>
      <c r="H282" s="90" t="s">
        <v>1420</v>
      </c>
      <c r="I282" s="90" t="s">
        <v>188</v>
      </c>
      <c r="J282" s="87" t="s">
        <v>70</v>
      </c>
      <c r="K282" s="87" t="s">
        <v>71</v>
      </c>
      <c r="L282" s="90" t="s">
        <v>72</v>
      </c>
      <c r="M282" s="91" t="s">
        <v>72</v>
      </c>
      <c r="N282" s="90" t="s">
        <v>72</v>
      </c>
      <c r="O282" s="90" t="str">
        <f t="shared" si="32"/>
        <v>Distrital</v>
      </c>
      <c r="P282" s="87" t="s">
        <v>73</v>
      </c>
      <c r="Q282" s="87"/>
      <c r="R282" s="87"/>
      <c r="S282" s="87"/>
      <c r="T282" s="87"/>
      <c r="U282" s="87"/>
      <c r="V282" s="90" t="str">
        <f t="shared" si="33"/>
        <v>Distrital</v>
      </c>
      <c r="W282" s="87" t="s">
        <v>73</v>
      </c>
      <c r="X282" s="87"/>
      <c r="Y282" s="87"/>
      <c r="Z282" s="87"/>
      <c r="AA282" s="87"/>
      <c r="AB282" s="87"/>
      <c r="AC282" s="90" t="str">
        <f t="shared" si="34"/>
        <v>Distrital</v>
      </c>
      <c r="AD282" s="87" t="s">
        <v>73</v>
      </c>
      <c r="AE282" s="87"/>
      <c r="AF282" s="87"/>
      <c r="AG282" s="87"/>
      <c r="AH282" s="87"/>
      <c r="AI282" s="87"/>
      <c r="AJ282" s="87"/>
      <c r="AK282" s="87"/>
      <c r="AL282" s="87"/>
      <c r="AM282" s="87"/>
      <c r="AN282" s="90" t="s">
        <v>160</v>
      </c>
      <c r="AO282" s="90" t="s">
        <v>1421</v>
      </c>
      <c r="AP282" s="82"/>
      <c r="AQ282" s="87" t="s">
        <v>60</v>
      </c>
      <c r="AR282" s="87" t="s">
        <v>77</v>
      </c>
      <c r="AS282" s="82"/>
      <c r="AT282" s="87">
        <v>17</v>
      </c>
      <c r="AU282" s="87">
        <v>12</v>
      </c>
      <c r="AV282" s="87">
        <f t="shared" si="5"/>
        <v>29</v>
      </c>
      <c r="AW282" s="87" t="str">
        <f t="shared" si="31"/>
        <v>Ninguna</v>
      </c>
      <c r="AX282" s="87" t="s">
        <v>75</v>
      </c>
      <c r="AY282" s="87"/>
      <c r="AZ282" s="87"/>
      <c r="BA282" s="91" t="s">
        <v>1422</v>
      </c>
      <c r="BB282" s="84"/>
      <c r="BC282" s="85"/>
      <c r="BD282" s="85"/>
    </row>
    <row r="283" spans="1:56" s="86" customFormat="1" ht="46.5" customHeight="1">
      <c r="A283" s="87">
        <v>278</v>
      </c>
      <c r="B283" s="79" t="s">
        <v>1423</v>
      </c>
      <c r="C283" s="88">
        <v>45394</v>
      </c>
      <c r="D283" s="89">
        <v>0.375</v>
      </c>
      <c r="E283" s="87" t="s">
        <v>58</v>
      </c>
      <c r="F283" s="87" t="s">
        <v>61</v>
      </c>
      <c r="G283" s="87" t="s">
        <v>62</v>
      </c>
      <c r="H283" s="90" t="s">
        <v>1424</v>
      </c>
      <c r="I283" s="90" t="s">
        <v>193</v>
      </c>
      <c r="J283" s="87" t="s">
        <v>173</v>
      </c>
      <c r="K283" s="87"/>
      <c r="L283" s="90" t="s">
        <v>1425</v>
      </c>
      <c r="M283" s="91">
        <v>3017902221</v>
      </c>
      <c r="N283" s="90" t="s">
        <v>1317</v>
      </c>
      <c r="O283" s="90" t="str">
        <f t="shared" si="32"/>
        <v>Kennedy</v>
      </c>
      <c r="P283" s="87" t="s">
        <v>473</v>
      </c>
      <c r="Q283" s="87"/>
      <c r="R283" s="87"/>
      <c r="S283" s="87"/>
      <c r="T283" s="87"/>
      <c r="U283" s="87"/>
      <c r="V283" s="90" t="str">
        <f t="shared" si="33"/>
        <v>Suroccidente</v>
      </c>
      <c r="W283" s="87" t="s">
        <v>474</v>
      </c>
      <c r="X283" s="87"/>
      <c r="Y283" s="87"/>
      <c r="Z283" s="87"/>
      <c r="AA283" s="87"/>
      <c r="AB283" s="87"/>
      <c r="AC283" s="90" t="str">
        <f t="shared" si="34"/>
        <v>Kennedy</v>
      </c>
      <c r="AD283" s="87" t="s">
        <v>473</v>
      </c>
      <c r="AE283" s="87"/>
      <c r="AF283" s="87"/>
      <c r="AG283" s="87"/>
      <c r="AH283" s="87"/>
      <c r="AI283" s="87"/>
      <c r="AJ283" s="87"/>
      <c r="AK283" s="87"/>
      <c r="AL283" s="87"/>
      <c r="AM283" s="87"/>
      <c r="AN283" s="90" t="s">
        <v>1426</v>
      </c>
      <c r="AO283" s="90" t="s">
        <v>1427</v>
      </c>
      <c r="AP283" s="82"/>
      <c r="AQ283" s="87" t="s">
        <v>60</v>
      </c>
      <c r="AR283" s="87" t="s">
        <v>398</v>
      </c>
      <c r="AS283" s="82"/>
      <c r="AT283" s="87">
        <v>150</v>
      </c>
      <c r="AU283" s="87">
        <v>2</v>
      </c>
      <c r="AV283" s="87">
        <f t="shared" ref="AV283:AV352" si="35">AT283+AU283</f>
        <v>152</v>
      </c>
      <c r="AW283" s="87" t="str">
        <f t="shared" si="31"/>
        <v>Lenguaje de señas</v>
      </c>
      <c r="AX283" s="87" t="s">
        <v>211</v>
      </c>
      <c r="AY283" s="87"/>
      <c r="AZ283" s="87"/>
      <c r="BA283" s="91" t="s">
        <v>1428</v>
      </c>
      <c r="BB283" s="84"/>
      <c r="BC283" s="85"/>
      <c r="BD283" s="85"/>
    </row>
    <row r="284" spans="1:56" s="86" customFormat="1" ht="46.5" customHeight="1">
      <c r="A284" s="78">
        <v>279</v>
      </c>
      <c r="B284" s="79" t="s">
        <v>1429</v>
      </c>
      <c r="C284" s="88">
        <v>45394</v>
      </c>
      <c r="D284" s="89">
        <v>0.375</v>
      </c>
      <c r="E284" s="87" t="s">
        <v>58</v>
      </c>
      <c r="F284" s="87" t="s">
        <v>61</v>
      </c>
      <c r="G284" s="87" t="s">
        <v>62</v>
      </c>
      <c r="H284" s="90" t="s">
        <v>1430</v>
      </c>
      <c r="I284" s="90" t="s">
        <v>172</v>
      </c>
      <c r="J284" s="87" t="s">
        <v>119</v>
      </c>
      <c r="K284" s="87" t="s">
        <v>610</v>
      </c>
      <c r="L284" s="90" t="s">
        <v>1431</v>
      </c>
      <c r="M284" s="91">
        <v>3007852431</v>
      </c>
      <c r="N284" s="90" t="s">
        <v>1432</v>
      </c>
      <c r="O284" s="90" t="str">
        <f t="shared" si="32"/>
        <v>Distrital</v>
      </c>
      <c r="P284" s="87" t="s">
        <v>73</v>
      </c>
      <c r="Q284" s="87"/>
      <c r="R284" s="87"/>
      <c r="S284" s="87"/>
      <c r="T284" s="87"/>
      <c r="U284" s="87"/>
      <c r="V284" s="90" t="str">
        <f t="shared" si="33"/>
        <v>Distrital</v>
      </c>
      <c r="W284" s="87" t="s">
        <v>73</v>
      </c>
      <c r="X284" s="87"/>
      <c r="Y284" s="87"/>
      <c r="Z284" s="87"/>
      <c r="AA284" s="87"/>
      <c r="AB284" s="87"/>
      <c r="AC284" s="90" t="str">
        <f t="shared" si="34"/>
        <v>Distrital</v>
      </c>
      <c r="AD284" s="87" t="s">
        <v>73</v>
      </c>
      <c r="AE284" s="87"/>
      <c r="AF284" s="87"/>
      <c r="AG284" s="87"/>
      <c r="AH284" s="87"/>
      <c r="AI284" s="87"/>
      <c r="AJ284" s="87"/>
      <c r="AK284" s="87"/>
      <c r="AL284" s="87"/>
      <c r="AM284" s="87"/>
      <c r="AN284" s="90" t="s">
        <v>1433</v>
      </c>
      <c r="AO284" s="90" t="s">
        <v>1434</v>
      </c>
      <c r="AP284" s="82"/>
      <c r="AQ284" s="87" t="s">
        <v>60</v>
      </c>
      <c r="AR284" s="87" t="s">
        <v>398</v>
      </c>
      <c r="AS284" s="82"/>
      <c r="AT284" s="87">
        <v>14</v>
      </c>
      <c r="AU284" s="87">
        <v>2</v>
      </c>
      <c r="AV284" s="87">
        <f t="shared" si="35"/>
        <v>16</v>
      </c>
      <c r="AW284" s="87" t="str">
        <f t="shared" si="31"/>
        <v>No Aplica</v>
      </c>
      <c r="AX284" s="87" t="s">
        <v>78</v>
      </c>
      <c r="AY284" s="87"/>
      <c r="AZ284" s="87"/>
      <c r="BA284" s="91" t="s">
        <v>1435</v>
      </c>
      <c r="BB284" s="84"/>
      <c r="BC284" s="85"/>
      <c r="BD284" s="85"/>
    </row>
    <row r="285" spans="1:56" s="86" customFormat="1" ht="46.5" customHeight="1">
      <c r="A285" s="87">
        <v>280</v>
      </c>
      <c r="B285" s="79" t="s">
        <v>1436</v>
      </c>
      <c r="C285" s="88">
        <v>45394</v>
      </c>
      <c r="D285" s="89">
        <v>0.45833333333333331</v>
      </c>
      <c r="E285" s="87" t="s">
        <v>58</v>
      </c>
      <c r="F285" s="87" t="s">
        <v>1437</v>
      </c>
      <c r="G285" s="87" t="s">
        <v>95</v>
      </c>
      <c r="H285" s="90" t="s">
        <v>1438</v>
      </c>
      <c r="I285" s="90" t="s">
        <v>64</v>
      </c>
      <c r="J285" s="87" t="s">
        <v>173</v>
      </c>
      <c r="K285" s="87"/>
      <c r="L285" s="90" t="s">
        <v>1439</v>
      </c>
      <c r="M285" s="91">
        <v>3208382088</v>
      </c>
      <c r="N285" s="90" t="s">
        <v>1440</v>
      </c>
      <c r="O285" s="90" t="str">
        <f t="shared" si="32"/>
        <v>Distrital</v>
      </c>
      <c r="P285" s="87" t="s">
        <v>73</v>
      </c>
      <c r="Q285" s="87"/>
      <c r="R285" s="87"/>
      <c r="S285" s="87"/>
      <c r="T285" s="87"/>
      <c r="U285" s="87"/>
      <c r="V285" s="90" t="str">
        <f t="shared" si="33"/>
        <v>Distrital</v>
      </c>
      <c r="W285" s="87" t="s">
        <v>73</v>
      </c>
      <c r="X285" s="87"/>
      <c r="Y285" s="87"/>
      <c r="Z285" s="87"/>
      <c r="AA285" s="87"/>
      <c r="AB285" s="87"/>
      <c r="AC285" s="90" t="str">
        <f t="shared" si="34"/>
        <v>Distrital</v>
      </c>
      <c r="AD285" s="87" t="s">
        <v>73</v>
      </c>
      <c r="AE285" s="87"/>
      <c r="AF285" s="87"/>
      <c r="AG285" s="87"/>
      <c r="AH285" s="87"/>
      <c r="AI285" s="87"/>
      <c r="AJ285" s="87"/>
      <c r="AK285" s="87"/>
      <c r="AL285" s="87"/>
      <c r="AM285" s="87"/>
      <c r="AN285" s="90" t="s">
        <v>160</v>
      </c>
      <c r="AO285" s="92" t="s">
        <v>1441</v>
      </c>
      <c r="AP285" s="82"/>
      <c r="AQ285" s="87" t="s">
        <v>59</v>
      </c>
      <c r="AR285" s="87" t="s">
        <v>80</v>
      </c>
      <c r="AS285" s="82"/>
      <c r="AT285" s="87">
        <v>9</v>
      </c>
      <c r="AU285" s="87">
        <v>4</v>
      </c>
      <c r="AV285" s="87">
        <f t="shared" si="35"/>
        <v>13</v>
      </c>
      <c r="AW285" s="87" t="str">
        <f t="shared" si="31"/>
        <v>No Aplica</v>
      </c>
      <c r="AX285" s="87" t="s">
        <v>78</v>
      </c>
      <c r="AY285" s="87"/>
      <c r="AZ285" s="87"/>
      <c r="BA285" s="91" t="s">
        <v>1442</v>
      </c>
      <c r="BB285" s="84"/>
      <c r="BC285" s="85"/>
      <c r="BD285" s="85"/>
    </row>
    <row r="286" spans="1:56" s="86" customFormat="1" ht="46.5" customHeight="1">
      <c r="A286" s="78">
        <v>281</v>
      </c>
      <c r="B286" s="79" t="s">
        <v>437</v>
      </c>
      <c r="C286" s="88">
        <v>45394</v>
      </c>
      <c r="D286" s="89">
        <v>0.70833333333333337</v>
      </c>
      <c r="E286" s="87" t="s">
        <v>93</v>
      </c>
      <c r="F286" s="87" t="s">
        <v>102</v>
      </c>
      <c r="G286" s="87" t="s">
        <v>62</v>
      </c>
      <c r="H286" s="90" t="s">
        <v>1443</v>
      </c>
      <c r="I286" s="90" t="s">
        <v>118</v>
      </c>
      <c r="J286" s="87" t="s">
        <v>119</v>
      </c>
      <c r="K286" s="87" t="s">
        <v>129</v>
      </c>
      <c r="L286" s="90" t="s">
        <v>407</v>
      </c>
      <c r="M286" s="91">
        <v>3188799909</v>
      </c>
      <c r="N286" s="90" t="s">
        <v>1351</v>
      </c>
      <c r="O286" s="90" t="str">
        <f t="shared" si="32"/>
        <v>Distrital</v>
      </c>
      <c r="P286" s="87" t="s">
        <v>73</v>
      </c>
      <c r="Q286" s="87"/>
      <c r="R286" s="87"/>
      <c r="S286" s="87"/>
      <c r="T286" s="87"/>
      <c r="U286" s="87"/>
      <c r="V286" s="90" t="str">
        <f t="shared" si="33"/>
        <v>Distrital</v>
      </c>
      <c r="W286" s="87" t="s">
        <v>73</v>
      </c>
      <c r="X286" s="87"/>
      <c r="Y286" s="87"/>
      <c r="Z286" s="87"/>
      <c r="AA286" s="87"/>
      <c r="AB286" s="87"/>
      <c r="AC286" s="90" t="str">
        <f t="shared" si="34"/>
        <v>Distrital</v>
      </c>
      <c r="AD286" s="87" t="s">
        <v>73</v>
      </c>
      <c r="AE286" s="87"/>
      <c r="AF286" s="87"/>
      <c r="AG286" s="87"/>
      <c r="AH286" s="87"/>
      <c r="AI286" s="87"/>
      <c r="AJ286" s="87"/>
      <c r="AK286" s="87"/>
      <c r="AL286" s="87"/>
      <c r="AM286" s="87"/>
      <c r="AN286" s="90" t="s">
        <v>160</v>
      </c>
      <c r="AO286" s="90" t="s">
        <v>1352</v>
      </c>
      <c r="AP286" s="82"/>
      <c r="AQ286" s="87" t="s">
        <v>60</v>
      </c>
      <c r="AR286" s="87" t="s">
        <v>77</v>
      </c>
      <c r="AS286" s="82"/>
      <c r="AT286" s="87">
        <v>73</v>
      </c>
      <c r="AU286" s="87">
        <v>1</v>
      </c>
      <c r="AV286" s="87">
        <f t="shared" si="35"/>
        <v>74</v>
      </c>
      <c r="AW286" s="87" t="str">
        <f t="shared" si="31"/>
        <v>Ninguna</v>
      </c>
      <c r="AX286" s="87" t="s">
        <v>75</v>
      </c>
      <c r="AY286" s="87"/>
      <c r="AZ286" s="87"/>
      <c r="BA286" s="91" t="s">
        <v>1444</v>
      </c>
      <c r="BB286" s="84"/>
      <c r="BC286" s="85"/>
      <c r="BD286" s="85"/>
    </row>
    <row r="287" spans="1:56" s="86" customFormat="1" ht="46.5" customHeight="1">
      <c r="A287" s="87">
        <v>282</v>
      </c>
      <c r="B287" s="79" t="s">
        <v>1445</v>
      </c>
      <c r="C287" s="88">
        <v>45396</v>
      </c>
      <c r="D287" s="89">
        <v>0.375</v>
      </c>
      <c r="E287" s="87" t="s">
        <v>58</v>
      </c>
      <c r="F287" s="87" t="s">
        <v>61</v>
      </c>
      <c r="G287" s="87" t="s">
        <v>62</v>
      </c>
      <c r="H287" s="90" t="s">
        <v>1446</v>
      </c>
      <c r="I287" s="90" t="s">
        <v>193</v>
      </c>
      <c r="J287" s="87" t="s">
        <v>173</v>
      </c>
      <c r="K287" s="87"/>
      <c r="L287" s="90" t="s">
        <v>1447</v>
      </c>
      <c r="M287" s="91" t="s">
        <v>1448</v>
      </c>
      <c r="N287" s="90" t="s">
        <v>1449</v>
      </c>
      <c r="O287" s="90" t="str">
        <f t="shared" si="32"/>
        <v>Rafael Uribe Uribe</v>
      </c>
      <c r="P287" s="87" t="s">
        <v>414</v>
      </c>
      <c r="Q287" s="87"/>
      <c r="R287" s="87"/>
      <c r="S287" s="87"/>
      <c r="T287" s="87"/>
      <c r="U287" s="87"/>
      <c r="V287" s="90" t="str">
        <f t="shared" si="33"/>
        <v>Suroriente</v>
      </c>
      <c r="W287" s="87" t="s">
        <v>108</v>
      </c>
      <c r="X287" s="87"/>
      <c r="Y287" s="87"/>
      <c r="Z287" s="87"/>
      <c r="AA287" s="87"/>
      <c r="AB287" s="87"/>
      <c r="AC287" s="90" t="str">
        <f t="shared" si="34"/>
        <v>Restrepo, Rafael Uribe, San Cristobal</v>
      </c>
      <c r="AD287" s="87" t="s">
        <v>416</v>
      </c>
      <c r="AE287" s="87" t="s">
        <v>467</v>
      </c>
      <c r="AF287" s="87" t="s">
        <v>371</v>
      </c>
      <c r="AG287" s="87"/>
      <c r="AH287" s="87"/>
      <c r="AI287" s="87"/>
      <c r="AJ287" s="87"/>
      <c r="AK287" s="87"/>
      <c r="AL287" s="87"/>
      <c r="AM287" s="87"/>
      <c r="AN287" s="90" t="s">
        <v>160</v>
      </c>
      <c r="AO287" s="90" t="s">
        <v>1450</v>
      </c>
      <c r="AP287" s="82"/>
      <c r="AQ287" s="87" t="s">
        <v>60</v>
      </c>
      <c r="AR287" s="87" t="s">
        <v>398</v>
      </c>
      <c r="AS287" s="82"/>
      <c r="AT287" s="87">
        <v>100</v>
      </c>
      <c r="AU287" s="87">
        <v>2</v>
      </c>
      <c r="AV287" s="87">
        <f t="shared" si="35"/>
        <v>102</v>
      </c>
      <c r="AW287" s="87" t="str">
        <f t="shared" si="31"/>
        <v>No Aplica</v>
      </c>
      <c r="AX287" s="87" t="s">
        <v>78</v>
      </c>
      <c r="AY287" s="87"/>
      <c r="AZ287" s="87"/>
      <c r="BA287" s="91" t="s">
        <v>1451</v>
      </c>
      <c r="BB287" s="84"/>
      <c r="BC287" s="85"/>
      <c r="BD287" s="85"/>
    </row>
    <row r="288" spans="1:56" s="86" customFormat="1" ht="46.5" customHeight="1">
      <c r="A288" s="78">
        <v>283</v>
      </c>
      <c r="B288" s="79" t="s">
        <v>1452</v>
      </c>
      <c r="C288" s="88">
        <v>45397</v>
      </c>
      <c r="D288" s="89">
        <v>0.375</v>
      </c>
      <c r="E288" s="87" t="s">
        <v>93</v>
      </c>
      <c r="F288" s="87" t="s">
        <v>102</v>
      </c>
      <c r="G288" s="87" t="s">
        <v>62</v>
      </c>
      <c r="H288" s="90" t="s">
        <v>1453</v>
      </c>
      <c r="I288" s="90" t="s">
        <v>118</v>
      </c>
      <c r="J288" s="87" t="s">
        <v>119</v>
      </c>
      <c r="K288" s="87" t="s">
        <v>129</v>
      </c>
      <c r="L288" s="90" t="s">
        <v>1454</v>
      </c>
      <c r="M288" s="91">
        <v>3013090210</v>
      </c>
      <c r="N288" s="90" t="s">
        <v>692</v>
      </c>
      <c r="O288" s="90" t="str">
        <f t="shared" si="32"/>
        <v>Distrital</v>
      </c>
      <c r="P288" s="87" t="s">
        <v>73</v>
      </c>
      <c r="Q288" s="87"/>
      <c r="R288" s="87"/>
      <c r="S288" s="87"/>
      <c r="T288" s="87"/>
      <c r="U288" s="87"/>
      <c r="V288" s="90" t="str">
        <f t="shared" si="33"/>
        <v>Distrital</v>
      </c>
      <c r="W288" s="87" t="s">
        <v>73</v>
      </c>
      <c r="X288" s="87"/>
      <c r="Y288" s="87"/>
      <c r="Z288" s="87"/>
      <c r="AA288" s="87"/>
      <c r="AB288" s="87"/>
      <c r="AC288" s="90" t="str">
        <f t="shared" si="34"/>
        <v>Distrital</v>
      </c>
      <c r="AD288" s="87" t="s">
        <v>73</v>
      </c>
      <c r="AE288" s="87"/>
      <c r="AF288" s="87"/>
      <c r="AG288" s="87"/>
      <c r="AH288" s="87"/>
      <c r="AI288" s="87"/>
      <c r="AJ288" s="87"/>
      <c r="AK288" s="87"/>
      <c r="AL288" s="87"/>
      <c r="AM288" s="87"/>
      <c r="AN288" s="90" t="s">
        <v>160</v>
      </c>
      <c r="AO288" s="90" t="s">
        <v>1455</v>
      </c>
      <c r="AP288" s="82"/>
      <c r="AQ288" s="87" t="s">
        <v>60</v>
      </c>
      <c r="AR288" s="87" t="s">
        <v>77</v>
      </c>
      <c r="AS288" s="82"/>
      <c r="AT288" s="87">
        <v>15</v>
      </c>
      <c r="AU288" s="87">
        <v>9</v>
      </c>
      <c r="AV288" s="87">
        <f t="shared" si="35"/>
        <v>24</v>
      </c>
      <c r="AW288" s="87" t="str">
        <f t="shared" si="31"/>
        <v>No Aplica</v>
      </c>
      <c r="AX288" s="87" t="s">
        <v>78</v>
      </c>
      <c r="AY288" s="87"/>
      <c r="AZ288" s="87"/>
      <c r="BA288" s="91" t="s">
        <v>1456</v>
      </c>
      <c r="BB288" s="84"/>
      <c r="BC288" s="85"/>
      <c r="BD288" s="85"/>
    </row>
    <row r="289" spans="1:56" s="86" customFormat="1" ht="46.5" customHeight="1">
      <c r="A289" s="87">
        <v>284</v>
      </c>
      <c r="B289" s="79" t="s">
        <v>1401</v>
      </c>
      <c r="C289" s="88">
        <v>45397</v>
      </c>
      <c r="D289" s="89">
        <v>0.375</v>
      </c>
      <c r="E289" s="87" t="s">
        <v>58</v>
      </c>
      <c r="F289" s="87" t="s">
        <v>61</v>
      </c>
      <c r="G289" s="87" t="s">
        <v>62</v>
      </c>
      <c r="H289" s="90" t="s">
        <v>1457</v>
      </c>
      <c r="I289" s="90" t="s">
        <v>193</v>
      </c>
      <c r="J289" s="87" t="s">
        <v>173</v>
      </c>
      <c r="K289" s="87"/>
      <c r="L289" s="90" t="s">
        <v>1458</v>
      </c>
      <c r="M289" s="91" t="s">
        <v>80</v>
      </c>
      <c r="N289" s="90" t="s">
        <v>1403</v>
      </c>
      <c r="O289" s="90" t="str">
        <f t="shared" si="32"/>
        <v>Teusaquillo</v>
      </c>
      <c r="P289" s="87" t="s">
        <v>665</v>
      </c>
      <c r="Q289" s="87"/>
      <c r="R289" s="87"/>
      <c r="S289" s="87"/>
      <c r="T289" s="87"/>
      <c r="U289" s="87"/>
      <c r="V289" s="90" t="str">
        <f t="shared" si="33"/>
        <v>Distrital</v>
      </c>
      <c r="W289" s="87" t="s">
        <v>73</v>
      </c>
      <c r="X289" s="87"/>
      <c r="Y289" s="87"/>
      <c r="Z289" s="87"/>
      <c r="AA289" s="87"/>
      <c r="AB289" s="87"/>
      <c r="AC289" s="90" t="str">
        <f t="shared" si="34"/>
        <v>Distrital</v>
      </c>
      <c r="AD289" s="87" t="s">
        <v>73</v>
      </c>
      <c r="AE289" s="87"/>
      <c r="AF289" s="87"/>
      <c r="AG289" s="87"/>
      <c r="AH289" s="87"/>
      <c r="AI289" s="87"/>
      <c r="AJ289" s="87"/>
      <c r="AK289" s="87"/>
      <c r="AL289" s="87"/>
      <c r="AM289" s="87"/>
      <c r="AN289" s="90" t="s">
        <v>160</v>
      </c>
      <c r="AO289" s="90" t="s">
        <v>1459</v>
      </c>
      <c r="AP289" s="82"/>
      <c r="AQ289" s="87" t="s">
        <v>60</v>
      </c>
      <c r="AR289" s="87" t="s">
        <v>398</v>
      </c>
      <c r="AS289" s="82"/>
      <c r="AT289" s="87">
        <v>65</v>
      </c>
      <c r="AU289" s="87">
        <v>11</v>
      </c>
      <c r="AV289" s="87">
        <f t="shared" si="35"/>
        <v>76</v>
      </c>
      <c r="AW289" s="87" t="str">
        <f t="shared" si="31"/>
        <v>Horarios Acordes, Contenidos adaptados</v>
      </c>
      <c r="AX289" s="87" t="s">
        <v>213</v>
      </c>
      <c r="AY289" s="87" t="s">
        <v>212</v>
      </c>
      <c r="AZ289" s="87"/>
      <c r="BA289" s="91" t="s">
        <v>1460</v>
      </c>
      <c r="BB289" s="84"/>
      <c r="BC289" s="85"/>
      <c r="BD289" s="85"/>
    </row>
    <row r="290" spans="1:56" s="86" customFormat="1" ht="46.5" customHeight="1">
      <c r="A290" s="78">
        <v>285</v>
      </c>
      <c r="B290" s="79" t="s">
        <v>1461</v>
      </c>
      <c r="C290" s="88">
        <v>45397</v>
      </c>
      <c r="D290" s="89">
        <v>0.41666666666666669</v>
      </c>
      <c r="E290" s="87" t="s">
        <v>58</v>
      </c>
      <c r="F290" s="87" t="s">
        <v>61</v>
      </c>
      <c r="G290" s="87" t="s">
        <v>62</v>
      </c>
      <c r="H290" s="90" t="s">
        <v>1462</v>
      </c>
      <c r="I290" s="90" t="s">
        <v>193</v>
      </c>
      <c r="J290" s="87" t="s">
        <v>119</v>
      </c>
      <c r="K290" s="87" t="s">
        <v>610</v>
      </c>
      <c r="L290" s="90" t="s">
        <v>1317</v>
      </c>
      <c r="M290" s="91" t="s">
        <v>72</v>
      </c>
      <c r="N290" s="90" t="s">
        <v>72</v>
      </c>
      <c r="O290" s="90" t="str">
        <f t="shared" si="32"/>
        <v>Distrital</v>
      </c>
      <c r="P290" s="87" t="s">
        <v>73</v>
      </c>
      <c r="Q290" s="87"/>
      <c r="R290" s="87"/>
      <c r="S290" s="87"/>
      <c r="T290" s="87"/>
      <c r="U290" s="87"/>
      <c r="V290" s="90" t="str">
        <f t="shared" si="33"/>
        <v>Distrital</v>
      </c>
      <c r="W290" s="87" t="s">
        <v>73</v>
      </c>
      <c r="X290" s="87"/>
      <c r="Y290" s="87"/>
      <c r="Z290" s="87"/>
      <c r="AA290" s="87"/>
      <c r="AB290" s="87"/>
      <c r="AC290" s="90" t="str">
        <f t="shared" si="34"/>
        <v>Distrital</v>
      </c>
      <c r="AD290" s="87" t="s">
        <v>73</v>
      </c>
      <c r="AE290" s="87"/>
      <c r="AF290" s="87"/>
      <c r="AG290" s="87"/>
      <c r="AH290" s="87"/>
      <c r="AI290" s="87"/>
      <c r="AJ290" s="87"/>
      <c r="AK290" s="87"/>
      <c r="AL290" s="87"/>
      <c r="AM290" s="87"/>
      <c r="AN290" s="90" t="s">
        <v>160</v>
      </c>
      <c r="AO290" s="90" t="s">
        <v>1463</v>
      </c>
      <c r="AP290" s="82"/>
      <c r="AQ290" s="87" t="s">
        <v>60</v>
      </c>
      <c r="AR290" s="87" t="s">
        <v>398</v>
      </c>
      <c r="AS290" s="82"/>
      <c r="AT290" s="87">
        <v>6</v>
      </c>
      <c r="AU290" s="87">
        <v>5</v>
      </c>
      <c r="AV290" s="87">
        <f t="shared" si="35"/>
        <v>11</v>
      </c>
      <c r="AW290" s="87" t="str">
        <f t="shared" si="31"/>
        <v>Contenidos adaptados</v>
      </c>
      <c r="AX290" s="87" t="s">
        <v>212</v>
      </c>
      <c r="AY290" s="87"/>
      <c r="AZ290" s="87"/>
      <c r="BA290" s="91" t="s">
        <v>1464</v>
      </c>
      <c r="BB290" s="84"/>
      <c r="BC290" s="85"/>
      <c r="BD290" s="85"/>
    </row>
    <row r="291" spans="1:56" s="86" customFormat="1" ht="46.5" customHeight="1">
      <c r="A291" s="87">
        <v>286</v>
      </c>
      <c r="B291" s="79" t="s">
        <v>1465</v>
      </c>
      <c r="C291" s="88">
        <v>45397</v>
      </c>
      <c r="D291" s="89">
        <v>0.625</v>
      </c>
      <c r="E291" s="87" t="s">
        <v>58</v>
      </c>
      <c r="F291" s="87" t="s">
        <v>61</v>
      </c>
      <c r="G291" s="87" t="s">
        <v>62</v>
      </c>
      <c r="H291" s="90" t="s">
        <v>1466</v>
      </c>
      <c r="I291" s="90" t="s">
        <v>193</v>
      </c>
      <c r="J291" s="87" t="s">
        <v>173</v>
      </c>
      <c r="K291" s="87"/>
      <c r="L291" s="90" t="s">
        <v>1467</v>
      </c>
      <c r="M291" s="91">
        <v>3112654181</v>
      </c>
      <c r="N291" s="90" t="s">
        <v>1468</v>
      </c>
      <c r="O291" s="90" t="str">
        <f t="shared" si="32"/>
        <v>Distrital</v>
      </c>
      <c r="P291" s="87" t="s">
        <v>73</v>
      </c>
      <c r="Q291" s="87"/>
      <c r="R291" s="87"/>
      <c r="S291" s="87"/>
      <c r="T291" s="87"/>
      <c r="U291" s="87"/>
      <c r="V291" s="90" t="str">
        <f t="shared" si="33"/>
        <v>Distrital</v>
      </c>
      <c r="W291" s="87" t="s">
        <v>73</v>
      </c>
      <c r="X291" s="87"/>
      <c r="Y291" s="87"/>
      <c r="Z291" s="87"/>
      <c r="AA291" s="87"/>
      <c r="AB291" s="87"/>
      <c r="AC291" s="90" t="str">
        <f t="shared" si="34"/>
        <v>Distrital</v>
      </c>
      <c r="AD291" s="87" t="s">
        <v>73</v>
      </c>
      <c r="AE291" s="87"/>
      <c r="AF291" s="87"/>
      <c r="AG291" s="87"/>
      <c r="AH291" s="87"/>
      <c r="AI291" s="87"/>
      <c r="AJ291" s="87"/>
      <c r="AK291" s="87"/>
      <c r="AL291" s="87"/>
      <c r="AM291" s="87"/>
      <c r="AN291" s="90" t="s">
        <v>160</v>
      </c>
      <c r="AO291" s="90" t="s">
        <v>1469</v>
      </c>
      <c r="AP291" s="82"/>
      <c r="AQ291" s="87" t="s">
        <v>60</v>
      </c>
      <c r="AR291" s="87" t="s">
        <v>77</v>
      </c>
      <c r="AS291" s="82"/>
      <c r="AT291" s="87">
        <v>22</v>
      </c>
      <c r="AU291" s="87">
        <v>2</v>
      </c>
      <c r="AV291" s="87">
        <f t="shared" si="35"/>
        <v>24</v>
      </c>
      <c r="AW291" s="87" t="str">
        <f t="shared" si="31"/>
        <v>No Aplica</v>
      </c>
      <c r="AX291" s="87" t="s">
        <v>78</v>
      </c>
      <c r="AY291" s="87"/>
      <c r="AZ291" s="87"/>
      <c r="BA291" s="91" t="s">
        <v>1470</v>
      </c>
      <c r="BB291" s="84"/>
      <c r="BC291" s="85"/>
      <c r="BD291" s="85"/>
    </row>
    <row r="292" spans="1:56" s="86" customFormat="1" ht="46.5" customHeight="1">
      <c r="A292" s="78">
        <v>287</v>
      </c>
      <c r="B292" s="79" t="s">
        <v>1471</v>
      </c>
      <c r="C292" s="88">
        <v>45397</v>
      </c>
      <c r="D292" s="89">
        <v>0.125</v>
      </c>
      <c r="E292" s="87" t="s">
        <v>58</v>
      </c>
      <c r="F292" s="87" t="s">
        <v>1472</v>
      </c>
      <c r="G292" s="87" t="s">
        <v>62</v>
      </c>
      <c r="H292" s="90" t="s">
        <v>1473</v>
      </c>
      <c r="I292" s="90" t="s">
        <v>64</v>
      </c>
      <c r="J292" s="87" t="s">
        <v>119</v>
      </c>
      <c r="K292" s="87"/>
      <c r="L292" s="90" t="s">
        <v>1474</v>
      </c>
      <c r="M292" s="91">
        <v>3157991240</v>
      </c>
      <c r="N292" s="90" t="s">
        <v>1475</v>
      </c>
      <c r="O292" s="90" t="str">
        <f t="shared" si="32"/>
        <v>Distrital</v>
      </c>
      <c r="P292" s="87" t="s">
        <v>73</v>
      </c>
      <c r="Q292" s="87"/>
      <c r="R292" s="87"/>
      <c r="S292" s="87"/>
      <c r="T292" s="87"/>
      <c r="U292" s="87"/>
      <c r="V292" s="90" t="str">
        <f t="shared" si="33"/>
        <v>Distrital</v>
      </c>
      <c r="W292" s="87" t="s">
        <v>73</v>
      </c>
      <c r="X292" s="87"/>
      <c r="Y292" s="87"/>
      <c r="Z292" s="87"/>
      <c r="AA292" s="87"/>
      <c r="AB292" s="87"/>
      <c r="AC292" s="90" t="str">
        <f t="shared" si="34"/>
        <v>Distrital</v>
      </c>
      <c r="AD292" s="87" t="s">
        <v>73</v>
      </c>
      <c r="AE292" s="87"/>
      <c r="AF292" s="87"/>
      <c r="AG292" s="87"/>
      <c r="AH292" s="87"/>
      <c r="AI292" s="87"/>
      <c r="AJ292" s="87"/>
      <c r="AK292" s="87"/>
      <c r="AL292" s="87"/>
      <c r="AM292" s="87"/>
      <c r="AN292" s="90" t="s">
        <v>160</v>
      </c>
      <c r="AO292" s="90" t="s">
        <v>1476</v>
      </c>
      <c r="AP292" s="82"/>
      <c r="AQ292" s="87" t="s">
        <v>59</v>
      </c>
      <c r="AR292" s="87" t="s">
        <v>80</v>
      </c>
      <c r="AS292" s="82"/>
      <c r="AT292" s="87">
        <v>3</v>
      </c>
      <c r="AU292" s="87">
        <v>2</v>
      </c>
      <c r="AV292" s="87">
        <f t="shared" si="35"/>
        <v>5</v>
      </c>
      <c r="AW292" s="87" t="str">
        <f t="shared" si="31"/>
        <v>No Aplica</v>
      </c>
      <c r="AX292" s="87" t="s">
        <v>78</v>
      </c>
      <c r="AY292" s="87"/>
      <c r="AZ292" s="87"/>
      <c r="BA292" s="91" t="s">
        <v>1477</v>
      </c>
      <c r="BB292" s="84"/>
      <c r="BC292" s="85"/>
      <c r="BD292" s="85"/>
    </row>
    <row r="293" spans="1:56" s="86" customFormat="1" ht="46.5" customHeight="1">
      <c r="A293" s="87">
        <v>288</v>
      </c>
      <c r="B293" s="79" t="s">
        <v>1478</v>
      </c>
      <c r="C293" s="88">
        <v>45397</v>
      </c>
      <c r="D293" s="89">
        <v>0.66666666666666663</v>
      </c>
      <c r="E293" s="87" t="s">
        <v>58</v>
      </c>
      <c r="F293" s="87" t="s">
        <v>61</v>
      </c>
      <c r="G293" s="87" t="s">
        <v>95</v>
      </c>
      <c r="H293" s="90" t="s">
        <v>1479</v>
      </c>
      <c r="I293" s="90" t="s">
        <v>188</v>
      </c>
      <c r="J293" s="87" t="s">
        <v>70</v>
      </c>
      <c r="K293" s="87" t="s">
        <v>71</v>
      </c>
      <c r="L293" s="90" t="s">
        <v>1317</v>
      </c>
      <c r="M293" s="91" t="s">
        <v>72</v>
      </c>
      <c r="N293" s="90" t="s">
        <v>72</v>
      </c>
      <c r="O293" s="90" t="str">
        <f t="shared" si="32"/>
        <v>Distrital</v>
      </c>
      <c r="P293" s="87" t="s">
        <v>73</v>
      </c>
      <c r="Q293" s="87"/>
      <c r="R293" s="87"/>
      <c r="S293" s="87"/>
      <c r="T293" s="87"/>
      <c r="U293" s="87"/>
      <c r="V293" s="90" t="str">
        <f t="shared" si="33"/>
        <v>Distrital</v>
      </c>
      <c r="W293" s="87" t="s">
        <v>73</v>
      </c>
      <c r="X293" s="87"/>
      <c r="Y293" s="87"/>
      <c r="Z293" s="87"/>
      <c r="AA293" s="87"/>
      <c r="AB293" s="87"/>
      <c r="AC293" s="90" t="str">
        <f t="shared" si="34"/>
        <v>Distrital</v>
      </c>
      <c r="AD293" s="87" t="s">
        <v>73</v>
      </c>
      <c r="AE293" s="87"/>
      <c r="AF293" s="87"/>
      <c r="AG293" s="87"/>
      <c r="AH293" s="87"/>
      <c r="AI293" s="87"/>
      <c r="AJ293" s="87"/>
      <c r="AK293" s="87"/>
      <c r="AL293" s="87"/>
      <c r="AM293" s="87"/>
      <c r="AN293" s="90" t="s">
        <v>160</v>
      </c>
      <c r="AO293" s="92" t="s">
        <v>1480</v>
      </c>
      <c r="AP293" s="82"/>
      <c r="AQ293" s="87" t="s">
        <v>60</v>
      </c>
      <c r="AR293" s="87" t="s">
        <v>77</v>
      </c>
      <c r="AS293" s="82"/>
      <c r="AT293" s="87">
        <v>36</v>
      </c>
      <c r="AU293" s="87">
        <v>42</v>
      </c>
      <c r="AV293" s="87">
        <f t="shared" si="35"/>
        <v>78</v>
      </c>
      <c r="AW293" s="87" t="str">
        <f t="shared" si="31"/>
        <v>No Aplica</v>
      </c>
      <c r="AX293" s="87" t="s">
        <v>78</v>
      </c>
      <c r="AY293" s="87"/>
      <c r="AZ293" s="87"/>
      <c r="BA293" s="91" t="s">
        <v>1481</v>
      </c>
      <c r="BB293" s="84"/>
      <c r="BC293" s="85"/>
      <c r="BD293" s="85"/>
    </row>
    <row r="294" spans="1:56" s="86" customFormat="1" ht="46.5" customHeight="1">
      <c r="A294" s="78">
        <v>289</v>
      </c>
      <c r="B294" s="79" t="s">
        <v>1482</v>
      </c>
      <c r="C294" s="88">
        <v>45398</v>
      </c>
      <c r="D294" s="89">
        <v>0.375</v>
      </c>
      <c r="E294" s="87" t="s">
        <v>93</v>
      </c>
      <c r="F294" s="87" t="s">
        <v>321</v>
      </c>
      <c r="G294" s="87" t="s">
        <v>62</v>
      </c>
      <c r="H294" s="90" t="s">
        <v>820</v>
      </c>
      <c r="I294" s="90" t="s">
        <v>64</v>
      </c>
      <c r="J294" s="87" t="s">
        <v>70</v>
      </c>
      <c r="K294" s="87" t="s">
        <v>324</v>
      </c>
      <c r="L294" s="90" t="s">
        <v>821</v>
      </c>
      <c r="M294" s="91" t="s">
        <v>822</v>
      </c>
      <c r="N294" s="90" t="s">
        <v>1317</v>
      </c>
      <c r="O294" s="90" t="str">
        <f t="shared" si="32"/>
        <v>Puente Aranda</v>
      </c>
      <c r="P294" s="87" t="s">
        <v>823</v>
      </c>
      <c r="Q294" s="87"/>
      <c r="R294" s="87"/>
      <c r="S294" s="87"/>
      <c r="T294" s="87"/>
      <c r="U294" s="87"/>
      <c r="V294" s="90" t="str">
        <f t="shared" si="33"/>
        <v>Centro Ampliado</v>
      </c>
      <c r="W294" s="87" t="s">
        <v>415</v>
      </c>
      <c r="X294" s="87"/>
      <c r="Y294" s="87"/>
      <c r="Z294" s="87"/>
      <c r="AA294" s="87"/>
      <c r="AB294" s="87"/>
      <c r="AC294" s="90" t="str">
        <f t="shared" si="34"/>
        <v>Puente Aranda</v>
      </c>
      <c r="AD294" s="87" t="s">
        <v>823</v>
      </c>
      <c r="AE294" s="87"/>
      <c r="AF294" s="87"/>
      <c r="AG294" s="87"/>
      <c r="AH294" s="87"/>
      <c r="AI294" s="87"/>
      <c r="AJ294" s="87"/>
      <c r="AK294" s="87"/>
      <c r="AL294" s="87"/>
      <c r="AM294" s="87"/>
      <c r="AN294" s="90" t="s">
        <v>160</v>
      </c>
      <c r="AO294" s="90" t="s">
        <v>1483</v>
      </c>
      <c r="AP294" s="82"/>
      <c r="AQ294" s="87" t="s">
        <v>59</v>
      </c>
      <c r="AR294" s="87" t="s">
        <v>80</v>
      </c>
      <c r="AS294" s="82"/>
      <c r="AT294" s="87">
        <v>16</v>
      </c>
      <c r="AU294" s="87">
        <v>1</v>
      </c>
      <c r="AV294" s="87">
        <f t="shared" si="35"/>
        <v>17</v>
      </c>
      <c r="AW294" s="87" t="str">
        <f t="shared" si="31"/>
        <v>No Aplica</v>
      </c>
      <c r="AX294" s="87" t="s">
        <v>78</v>
      </c>
      <c r="AY294" s="87"/>
      <c r="AZ294" s="87"/>
      <c r="BA294" s="91" t="s">
        <v>1484</v>
      </c>
      <c r="BB294" s="84"/>
      <c r="BC294" s="85"/>
      <c r="BD294" s="85"/>
    </row>
    <row r="295" spans="1:56" s="86" customFormat="1" ht="46.5" customHeight="1">
      <c r="A295" s="87">
        <v>290</v>
      </c>
      <c r="B295" s="79" t="s">
        <v>1485</v>
      </c>
      <c r="C295" s="88">
        <v>45398</v>
      </c>
      <c r="D295" s="89">
        <v>0.55208333333333337</v>
      </c>
      <c r="E295" s="87" t="s">
        <v>58</v>
      </c>
      <c r="F295" s="87" t="s">
        <v>1486</v>
      </c>
      <c r="G295" s="87" t="s">
        <v>62</v>
      </c>
      <c r="H295" s="90" t="s">
        <v>1487</v>
      </c>
      <c r="I295" s="90" t="s">
        <v>118</v>
      </c>
      <c r="J295" s="87" t="s">
        <v>173</v>
      </c>
      <c r="K295" s="87"/>
      <c r="L295" s="90" t="s">
        <v>1317</v>
      </c>
      <c r="M295" s="91" t="s">
        <v>72</v>
      </c>
      <c r="N295" s="90" t="s">
        <v>72</v>
      </c>
      <c r="O295" s="90" t="str">
        <f t="shared" si="32"/>
        <v>Sumapaz</v>
      </c>
      <c r="P295" s="87" t="s">
        <v>327</v>
      </c>
      <c r="Q295" s="87"/>
      <c r="R295" s="87"/>
      <c r="S295" s="87"/>
      <c r="T295" s="87"/>
      <c r="U295" s="87"/>
      <c r="V295" s="90" t="str">
        <f t="shared" si="33"/>
        <v>Ruralidad</v>
      </c>
      <c r="W295" s="87" t="s">
        <v>109</v>
      </c>
      <c r="X295" s="87"/>
      <c r="Y295" s="87"/>
      <c r="Z295" s="87"/>
      <c r="AA295" s="87"/>
      <c r="AB295" s="87"/>
      <c r="AC295" s="90" t="str">
        <f t="shared" si="34"/>
        <v>Sumapaz</v>
      </c>
      <c r="AD295" s="87" t="s">
        <v>327</v>
      </c>
      <c r="AE295" s="87"/>
      <c r="AF295" s="87"/>
      <c r="AG295" s="87"/>
      <c r="AH295" s="87"/>
      <c r="AI295" s="87"/>
      <c r="AJ295" s="87"/>
      <c r="AK295" s="87"/>
      <c r="AL295" s="87"/>
      <c r="AM295" s="87"/>
      <c r="AN295" s="90" t="s">
        <v>1488</v>
      </c>
      <c r="AO295" s="90" t="s">
        <v>1489</v>
      </c>
      <c r="AP295" s="82"/>
      <c r="AQ295" s="87" t="s">
        <v>59</v>
      </c>
      <c r="AR295" s="87" t="s">
        <v>80</v>
      </c>
      <c r="AS295" s="82"/>
      <c r="AT295" s="87">
        <v>14</v>
      </c>
      <c r="AU295" s="87">
        <v>1</v>
      </c>
      <c r="AV295" s="87">
        <f t="shared" si="35"/>
        <v>15</v>
      </c>
      <c r="AW295" s="87" t="s">
        <v>184</v>
      </c>
      <c r="AX295" s="87"/>
      <c r="AY295" s="87"/>
      <c r="AZ295" s="87"/>
      <c r="BA295" s="91" t="s">
        <v>1490</v>
      </c>
      <c r="BB295" s="84"/>
      <c r="BC295" s="85"/>
      <c r="BD295" s="85"/>
    </row>
    <row r="296" spans="1:56" s="86" customFormat="1" ht="46.5" customHeight="1">
      <c r="A296" s="78">
        <v>291</v>
      </c>
      <c r="B296" s="79" t="s">
        <v>1491</v>
      </c>
      <c r="C296" s="88">
        <v>45399</v>
      </c>
      <c r="D296" s="89">
        <v>0.29166666666666669</v>
      </c>
      <c r="E296" s="87" t="s">
        <v>58</v>
      </c>
      <c r="F296" s="87" t="s">
        <v>135</v>
      </c>
      <c r="G296" s="87" t="s">
        <v>95</v>
      </c>
      <c r="H296" s="90" t="s">
        <v>1492</v>
      </c>
      <c r="I296" s="90" t="s">
        <v>64</v>
      </c>
      <c r="J296" s="87" t="s">
        <v>70</v>
      </c>
      <c r="K296" s="87" t="s">
        <v>324</v>
      </c>
      <c r="L296" s="90" t="s">
        <v>1317</v>
      </c>
      <c r="M296" s="91" t="s">
        <v>72</v>
      </c>
      <c r="N296" s="90" t="s">
        <v>72</v>
      </c>
      <c r="O296" s="90" t="str">
        <f t="shared" si="32"/>
        <v>Sumapaz</v>
      </c>
      <c r="P296" s="87" t="s">
        <v>327</v>
      </c>
      <c r="Q296" s="87"/>
      <c r="R296" s="87"/>
      <c r="S296" s="87"/>
      <c r="T296" s="87"/>
      <c r="U296" s="87"/>
      <c r="V296" s="90" t="str">
        <f t="shared" si="33"/>
        <v>Ruralidad</v>
      </c>
      <c r="W296" s="87" t="s">
        <v>109</v>
      </c>
      <c r="X296" s="87"/>
      <c r="Y296" s="87"/>
      <c r="Z296" s="87"/>
      <c r="AA296" s="87"/>
      <c r="AB296" s="87"/>
      <c r="AC296" s="90" t="str">
        <f t="shared" si="34"/>
        <v>Sumapaz</v>
      </c>
      <c r="AD296" s="87" t="s">
        <v>327</v>
      </c>
      <c r="AE296" s="87"/>
      <c r="AF296" s="87"/>
      <c r="AG296" s="87"/>
      <c r="AH296" s="87"/>
      <c r="AI296" s="87"/>
      <c r="AJ296" s="87"/>
      <c r="AK296" s="87"/>
      <c r="AL296" s="87"/>
      <c r="AM296" s="87"/>
      <c r="AN296" s="90" t="s">
        <v>160</v>
      </c>
      <c r="AO296" s="92" t="s">
        <v>1493</v>
      </c>
      <c r="AP296" s="82"/>
      <c r="AQ296" s="87" t="s">
        <v>60</v>
      </c>
      <c r="AR296" s="87" t="s">
        <v>77</v>
      </c>
      <c r="AS296" s="82"/>
      <c r="AT296" s="87">
        <v>4</v>
      </c>
      <c r="AU296" s="87">
        <v>10</v>
      </c>
      <c r="AV296" s="87">
        <f t="shared" si="35"/>
        <v>14</v>
      </c>
      <c r="AW296" s="87" t="str">
        <f t="shared" si="31"/>
        <v>No Aplica</v>
      </c>
      <c r="AX296" s="87" t="s">
        <v>78</v>
      </c>
      <c r="AY296" s="87"/>
      <c r="AZ296" s="87"/>
      <c r="BA296" s="91" t="s">
        <v>1494</v>
      </c>
      <c r="BB296" s="84"/>
      <c r="BC296" s="85"/>
      <c r="BD296" s="85"/>
    </row>
    <row r="297" spans="1:56" s="86" customFormat="1" ht="46.5" customHeight="1">
      <c r="A297" s="87">
        <v>292</v>
      </c>
      <c r="B297" s="79" t="s">
        <v>1495</v>
      </c>
      <c r="C297" s="88">
        <v>45399</v>
      </c>
      <c r="D297" s="89">
        <v>0.29166666666666669</v>
      </c>
      <c r="E297" s="87" t="s">
        <v>58</v>
      </c>
      <c r="F297" s="87" t="s">
        <v>135</v>
      </c>
      <c r="G297" s="87" t="s">
        <v>95</v>
      </c>
      <c r="H297" s="90" t="s">
        <v>1496</v>
      </c>
      <c r="I297" s="90" t="s">
        <v>64</v>
      </c>
      <c r="J297" s="87" t="s">
        <v>70</v>
      </c>
      <c r="K297" s="87" t="s">
        <v>324</v>
      </c>
      <c r="L297" s="90" t="s">
        <v>1317</v>
      </c>
      <c r="M297" s="91" t="s">
        <v>72</v>
      </c>
      <c r="N297" s="90" t="s">
        <v>72</v>
      </c>
      <c r="O297" s="90" t="str">
        <f t="shared" si="32"/>
        <v>Sumapaz</v>
      </c>
      <c r="P297" s="87" t="s">
        <v>327</v>
      </c>
      <c r="Q297" s="87"/>
      <c r="R297" s="87"/>
      <c r="S297" s="87"/>
      <c r="T297" s="87"/>
      <c r="U297" s="87"/>
      <c r="V297" s="90" t="str">
        <f t="shared" si="33"/>
        <v>Ruralidad</v>
      </c>
      <c r="W297" s="87" t="s">
        <v>109</v>
      </c>
      <c r="X297" s="87"/>
      <c r="Y297" s="87"/>
      <c r="Z297" s="87"/>
      <c r="AA297" s="87"/>
      <c r="AB297" s="87"/>
      <c r="AC297" s="90" t="str">
        <f t="shared" si="34"/>
        <v>Sumapaz</v>
      </c>
      <c r="AD297" s="87" t="s">
        <v>327</v>
      </c>
      <c r="AE297" s="87"/>
      <c r="AF297" s="87"/>
      <c r="AG297" s="87"/>
      <c r="AH297" s="87"/>
      <c r="AI297" s="87"/>
      <c r="AJ297" s="87"/>
      <c r="AK297" s="87"/>
      <c r="AL297" s="87"/>
      <c r="AM297" s="87"/>
      <c r="AN297" s="90" t="s">
        <v>160</v>
      </c>
      <c r="AO297" s="92" t="s">
        <v>1493</v>
      </c>
      <c r="AP297" s="82"/>
      <c r="AQ297" s="87" t="s">
        <v>60</v>
      </c>
      <c r="AR297" s="87" t="s">
        <v>77</v>
      </c>
      <c r="AS297" s="82"/>
      <c r="AT297" s="87">
        <v>4</v>
      </c>
      <c r="AU297" s="87">
        <v>10</v>
      </c>
      <c r="AV297" s="87">
        <f t="shared" si="35"/>
        <v>14</v>
      </c>
      <c r="AW297" s="87" t="str">
        <f t="shared" si="31"/>
        <v>No Aplica</v>
      </c>
      <c r="AX297" s="87" t="s">
        <v>78</v>
      </c>
      <c r="AY297" s="87"/>
      <c r="AZ297" s="87"/>
      <c r="BA297" s="91" t="s">
        <v>1497</v>
      </c>
      <c r="BB297" s="84"/>
      <c r="BC297" s="85"/>
      <c r="BD297" s="85"/>
    </row>
    <row r="298" spans="1:56" s="86" customFormat="1" ht="46.5" customHeight="1">
      <c r="A298" s="78">
        <v>293</v>
      </c>
      <c r="B298" s="79" t="s">
        <v>1498</v>
      </c>
      <c r="C298" s="88">
        <v>45399</v>
      </c>
      <c r="D298" s="89">
        <v>0.33333333333333331</v>
      </c>
      <c r="E298" s="87" t="s">
        <v>58</v>
      </c>
      <c r="F298" s="87" t="s">
        <v>135</v>
      </c>
      <c r="G298" s="87" t="s">
        <v>95</v>
      </c>
      <c r="H298" s="90" t="s">
        <v>1499</v>
      </c>
      <c r="I298" s="90" t="s">
        <v>64</v>
      </c>
      <c r="J298" s="87" t="s">
        <v>70</v>
      </c>
      <c r="K298" s="87" t="s">
        <v>71</v>
      </c>
      <c r="L298" s="90" t="s">
        <v>1500</v>
      </c>
      <c r="M298" s="91" t="s">
        <v>1501</v>
      </c>
      <c r="N298" s="90" t="s">
        <v>72</v>
      </c>
      <c r="O298" s="90" t="str">
        <f t="shared" si="32"/>
        <v>Suba</v>
      </c>
      <c r="P298" s="87" t="s">
        <v>394</v>
      </c>
      <c r="Q298" s="87"/>
      <c r="R298" s="87"/>
      <c r="S298" s="87"/>
      <c r="T298" s="87"/>
      <c r="U298" s="87"/>
      <c r="V298" s="90" t="str">
        <f t="shared" si="33"/>
        <v>Noroccidente</v>
      </c>
      <c r="W298" s="87" t="s">
        <v>395</v>
      </c>
      <c r="X298" s="87"/>
      <c r="Y298" s="87"/>
      <c r="Z298" s="87"/>
      <c r="AA298" s="87"/>
      <c r="AB298" s="87"/>
      <c r="AC298" s="90" t="str">
        <f t="shared" si="34"/>
        <v>Suba, Suba Rincón, Tibabuyes</v>
      </c>
      <c r="AD298" s="87" t="s">
        <v>394</v>
      </c>
      <c r="AE298" s="87" t="s">
        <v>396</v>
      </c>
      <c r="AF298" s="87" t="s">
        <v>924</v>
      </c>
      <c r="AG298" s="87"/>
      <c r="AH298" s="87"/>
      <c r="AI298" s="87"/>
      <c r="AJ298" s="87"/>
      <c r="AK298" s="87"/>
      <c r="AL298" s="87"/>
      <c r="AM298" s="87"/>
      <c r="AN298" s="90" t="s">
        <v>160</v>
      </c>
      <c r="AO298" s="92" t="s">
        <v>1502</v>
      </c>
      <c r="AP298" s="82"/>
      <c r="AQ298" s="87" t="s">
        <v>60</v>
      </c>
      <c r="AR298" s="87" t="s">
        <v>77</v>
      </c>
      <c r="AS298" s="82"/>
      <c r="AT298" s="87">
        <v>3</v>
      </c>
      <c r="AU298" s="87">
        <v>4</v>
      </c>
      <c r="AV298" s="87">
        <f t="shared" si="35"/>
        <v>7</v>
      </c>
      <c r="AW298" s="87" t="str">
        <f t="shared" si="31"/>
        <v>No Aplica</v>
      </c>
      <c r="AX298" s="87" t="s">
        <v>78</v>
      </c>
      <c r="AY298" s="87"/>
      <c r="AZ298" s="87"/>
      <c r="BA298" s="91" t="s">
        <v>1503</v>
      </c>
      <c r="BB298" s="84"/>
      <c r="BC298" s="85"/>
      <c r="BD298" s="85"/>
    </row>
    <row r="299" spans="1:56" s="86" customFormat="1" ht="46.5" customHeight="1">
      <c r="A299" s="87">
        <v>294</v>
      </c>
      <c r="B299" s="79" t="s">
        <v>1504</v>
      </c>
      <c r="C299" s="88">
        <v>45399</v>
      </c>
      <c r="D299" s="89">
        <v>0.33333333333333331</v>
      </c>
      <c r="E299" s="87" t="s">
        <v>58</v>
      </c>
      <c r="F299" s="87" t="s">
        <v>135</v>
      </c>
      <c r="G299" s="87" t="s">
        <v>95</v>
      </c>
      <c r="H299" s="90" t="s">
        <v>1505</v>
      </c>
      <c r="I299" s="90" t="s">
        <v>64</v>
      </c>
      <c r="J299" s="87" t="s">
        <v>70</v>
      </c>
      <c r="K299" s="87" t="s">
        <v>71</v>
      </c>
      <c r="L299" s="90" t="s">
        <v>1506</v>
      </c>
      <c r="M299" s="91" t="s">
        <v>1507</v>
      </c>
      <c r="N299" s="90" t="s">
        <v>1508</v>
      </c>
      <c r="O299" s="90" t="str">
        <f t="shared" si="32"/>
        <v>Ciudad Bolívar</v>
      </c>
      <c r="P299" s="87" t="s">
        <v>107</v>
      </c>
      <c r="Q299" s="87"/>
      <c r="R299" s="87"/>
      <c r="S299" s="87"/>
      <c r="T299" s="87"/>
      <c r="U299" s="87"/>
      <c r="V299" s="90" t="str">
        <f t="shared" si="33"/>
        <v>Suroriente</v>
      </c>
      <c r="W299" s="87" t="s">
        <v>108</v>
      </c>
      <c r="X299" s="87"/>
      <c r="Y299" s="87"/>
      <c r="Z299" s="87"/>
      <c r="AA299" s="87"/>
      <c r="AB299" s="87"/>
      <c r="AC299" s="90" t="str">
        <f t="shared" si="34"/>
        <v>Lucero, Arborizadora</v>
      </c>
      <c r="AD299" s="87" t="s">
        <v>111</v>
      </c>
      <c r="AE299" s="87" t="s">
        <v>110</v>
      </c>
      <c r="AF299" s="87"/>
      <c r="AG299" s="87"/>
      <c r="AH299" s="87"/>
      <c r="AI299" s="87"/>
      <c r="AJ299" s="87"/>
      <c r="AK299" s="87"/>
      <c r="AL299" s="87"/>
      <c r="AM299" s="87"/>
      <c r="AN299" s="90" t="s">
        <v>160</v>
      </c>
      <c r="AO299" s="92" t="s">
        <v>1509</v>
      </c>
      <c r="AP299" s="82"/>
      <c r="AQ299" s="87" t="s">
        <v>60</v>
      </c>
      <c r="AR299" s="87" t="s">
        <v>77</v>
      </c>
      <c r="AS299" s="82"/>
      <c r="AT299" s="87">
        <v>2</v>
      </c>
      <c r="AU299" s="87">
        <v>6</v>
      </c>
      <c r="AV299" s="87">
        <f t="shared" si="35"/>
        <v>8</v>
      </c>
      <c r="AW299" s="87" t="str">
        <f t="shared" si="31"/>
        <v>No Aplica</v>
      </c>
      <c r="AX299" s="87" t="s">
        <v>78</v>
      </c>
      <c r="AY299" s="87"/>
      <c r="AZ299" s="87"/>
      <c r="BA299" s="91" t="s">
        <v>1510</v>
      </c>
      <c r="BB299" s="84"/>
      <c r="BC299" s="85"/>
      <c r="BD299" s="85"/>
    </row>
    <row r="300" spans="1:56" s="86" customFormat="1" ht="46.5" customHeight="1">
      <c r="A300" s="78">
        <v>295</v>
      </c>
      <c r="B300" s="79" t="s">
        <v>1511</v>
      </c>
      <c r="C300" s="88">
        <v>45399</v>
      </c>
      <c r="D300" s="89">
        <v>0.33333333333333331</v>
      </c>
      <c r="E300" s="87" t="s">
        <v>58</v>
      </c>
      <c r="F300" s="87" t="s">
        <v>135</v>
      </c>
      <c r="G300" s="87" t="s">
        <v>95</v>
      </c>
      <c r="H300" s="90" t="s">
        <v>1512</v>
      </c>
      <c r="I300" s="90" t="s">
        <v>64</v>
      </c>
      <c r="J300" s="87" t="s">
        <v>70</v>
      </c>
      <c r="K300" s="87" t="s">
        <v>71</v>
      </c>
      <c r="L300" s="90" t="s">
        <v>1317</v>
      </c>
      <c r="M300" s="91" t="s">
        <v>72</v>
      </c>
      <c r="N300" s="90" t="s">
        <v>72</v>
      </c>
      <c r="O300" s="90" t="str">
        <f t="shared" si="32"/>
        <v>Puente Aranda</v>
      </c>
      <c r="P300" s="87" t="s">
        <v>823</v>
      </c>
      <c r="Q300" s="87"/>
      <c r="R300" s="87"/>
      <c r="S300" s="87"/>
      <c r="T300" s="87"/>
      <c r="U300" s="87"/>
      <c r="V300" s="90" t="str">
        <f t="shared" si="33"/>
        <v>Centro Ampliado</v>
      </c>
      <c r="W300" s="87" t="s">
        <v>415</v>
      </c>
      <c r="X300" s="87"/>
      <c r="Y300" s="87"/>
      <c r="Z300" s="87"/>
      <c r="AA300" s="87"/>
      <c r="AB300" s="87"/>
      <c r="AC300" s="90" t="str">
        <f t="shared" si="34"/>
        <v>Puente Aranda</v>
      </c>
      <c r="AD300" s="87" t="s">
        <v>823</v>
      </c>
      <c r="AE300" s="87"/>
      <c r="AF300" s="87"/>
      <c r="AG300" s="87"/>
      <c r="AH300" s="87"/>
      <c r="AI300" s="87"/>
      <c r="AJ300" s="87"/>
      <c r="AK300" s="87"/>
      <c r="AL300" s="87"/>
      <c r="AM300" s="87"/>
      <c r="AN300" s="90" t="s">
        <v>160</v>
      </c>
      <c r="AO300" s="92" t="s">
        <v>1513</v>
      </c>
      <c r="AP300" s="82"/>
      <c r="AQ300" s="87" t="s">
        <v>60</v>
      </c>
      <c r="AR300" s="87" t="s">
        <v>77</v>
      </c>
      <c r="AS300" s="82"/>
      <c r="AT300" s="87">
        <v>3</v>
      </c>
      <c r="AU300" s="87">
        <v>3</v>
      </c>
      <c r="AV300" s="87">
        <f t="shared" si="35"/>
        <v>6</v>
      </c>
      <c r="AW300" s="87" t="str">
        <f t="shared" si="31"/>
        <v>No Aplica</v>
      </c>
      <c r="AX300" s="87" t="s">
        <v>78</v>
      </c>
      <c r="AY300" s="87"/>
      <c r="AZ300" s="87"/>
      <c r="BA300" s="91" t="s">
        <v>1514</v>
      </c>
      <c r="BB300" s="84"/>
      <c r="BC300" s="85"/>
      <c r="BD300" s="85"/>
    </row>
    <row r="301" spans="1:56" s="86" customFormat="1" ht="46.5" customHeight="1">
      <c r="A301" s="87">
        <v>296</v>
      </c>
      <c r="B301" s="79" t="s">
        <v>1515</v>
      </c>
      <c r="C301" s="88">
        <v>45399</v>
      </c>
      <c r="D301" s="89">
        <v>0.375</v>
      </c>
      <c r="E301" s="87" t="s">
        <v>58</v>
      </c>
      <c r="F301" s="87" t="s">
        <v>135</v>
      </c>
      <c r="G301" s="87" t="s">
        <v>95</v>
      </c>
      <c r="H301" s="90" t="s">
        <v>1516</v>
      </c>
      <c r="I301" s="90" t="s">
        <v>64</v>
      </c>
      <c r="J301" s="87" t="s">
        <v>70</v>
      </c>
      <c r="K301" s="87" t="s">
        <v>71</v>
      </c>
      <c r="L301" s="90" t="s">
        <v>1317</v>
      </c>
      <c r="M301" s="91" t="s">
        <v>72</v>
      </c>
      <c r="N301" s="90" t="s">
        <v>72</v>
      </c>
      <c r="O301" s="90" t="str">
        <f t="shared" si="32"/>
        <v>Kennedy</v>
      </c>
      <c r="P301" s="87" t="s">
        <v>473</v>
      </c>
      <c r="Q301" s="87"/>
      <c r="R301" s="87"/>
      <c r="S301" s="87"/>
      <c r="T301" s="87"/>
      <c r="U301" s="87"/>
      <c r="V301" s="90" t="str">
        <f t="shared" si="33"/>
        <v>Suroccidente</v>
      </c>
      <c r="W301" s="87" t="s">
        <v>474</v>
      </c>
      <c r="X301" s="87"/>
      <c r="Y301" s="87"/>
      <c r="Z301" s="87"/>
      <c r="AA301" s="87"/>
      <c r="AB301" s="87"/>
      <c r="AC301" s="90" t="str">
        <f t="shared" si="34"/>
        <v>Kennedy, Tintal, Patio Bonito, Edén, Bosa, Porvenir</v>
      </c>
      <c r="AD301" s="87" t="s">
        <v>473</v>
      </c>
      <c r="AE301" s="87" t="s">
        <v>1134</v>
      </c>
      <c r="AF301" s="87" t="s">
        <v>639</v>
      </c>
      <c r="AG301" s="87" t="s">
        <v>704</v>
      </c>
      <c r="AH301" s="87" t="s">
        <v>472</v>
      </c>
      <c r="AI301" s="87" t="s">
        <v>705</v>
      </c>
      <c r="AJ301" s="87"/>
      <c r="AK301" s="87"/>
      <c r="AL301" s="87"/>
      <c r="AM301" s="87"/>
      <c r="AN301" s="90" t="s">
        <v>160</v>
      </c>
      <c r="AO301" s="92" t="s">
        <v>1517</v>
      </c>
      <c r="AP301" s="82"/>
      <c r="AQ301" s="87" t="s">
        <v>60</v>
      </c>
      <c r="AR301" s="87" t="s">
        <v>77</v>
      </c>
      <c r="AS301" s="82"/>
      <c r="AT301" s="87">
        <v>5</v>
      </c>
      <c r="AU301" s="87">
        <v>2</v>
      </c>
      <c r="AV301" s="87">
        <f t="shared" si="35"/>
        <v>7</v>
      </c>
      <c r="AW301" s="87" t="str">
        <f t="shared" si="31"/>
        <v>No Aplica</v>
      </c>
      <c r="AX301" s="87" t="s">
        <v>78</v>
      </c>
      <c r="AY301" s="87"/>
      <c r="AZ301" s="87"/>
      <c r="BA301" s="91" t="s">
        <v>1518</v>
      </c>
      <c r="BB301" s="84"/>
      <c r="BC301" s="85"/>
      <c r="BD301" s="85"/>
    </row>
    <row r="302" spans="1:56" s="86" customFormat="1" ht="46.5" customHeight="1">
      <c r="A302" s="78">
        <v>297</v>
      </c>
      <c r="B302" s="79" t="s">
        <v>1519</v>
      </c>
      <c r="C302" s="88">
        <v>45399</v>
      </c>
      <c r="D302" s="89">
        <v>0.375</v>
      </c>
      <c r="E302" s="87" t="s">
        <v>58</v>
      </c>
      <c r="F302" s="87" t="s">
        <v>135</v>
      </c>
      <c r="G302" s="87" t="s">
        <v>95</v>
      </c>
      <c r="H302" s="90" t="s">
        <v>1520</v>
      </c>
      <c r="I302" s="90" t="s">
        <v>64</v>
      </c>
      <c r="J302" s="87" t="s">
        <v>70</v>
      </c>
      <c r="K302" s="87" t="s">
        <v>71</v>
      </c>
      <c r="L302" s="90" t="s">
        <v>1384</v>
      </c>
      <c r="M302" s="91">
        <v>3113406771</v>
      </c>
      <c r="N302" s="90" t="s">
        <v>1385</v>
      </c>
      <c r="O302" s="90" t="str">
        <f t="shared" si="32"/>
        <v>Engativá</v>
      </c>
      <c r="P302" s="87" t="s">
        <v>123</v>
      </c>
      <c r="Q302" s="87"/>
      <c r="R302" s="87"/>
      <c r="S302" s="87"/>
      <c r="T302" s="87"/>
      <c r="U302" s="87"/>
      <c r="V302" s="90" t="str">
        <f t="shared" si="33"/>
        <v>Occidente</v>
      </c>
      <c r="W302" s="87" t="s">
        <v>124</v>
      </c>
      <c r="X302" s="87"/>
      <c r="Y302" s="87"/>
      <c r="Z302" s="87"/>
      <c r="AA302" s="87"/>
      <c r="AB302" s="87"/>
      <c r="AC302" s="90" t="str">
        <f t="shared" si="34"/>
        <v>Tabora, Engativá, Salitre</v>
      </c>
      <c r="AD302" s="87" t="s">
        <v>257</v>
      </c>
      <c r="AE302" s="87" t="s">
        <v>123</v>
      </c>
      <c r="AF302" s="87" t="s">
        <v>258</v>
      </c>
      <c r="AG302" s="87"/>
      <c r="AH302" s="87"/>
      <c r="AI302" s="87"/>
      <c r="AJ302" s="87"/>
      <c r="AK302" s="87"/>
      <c r="AL302" s="87"/>
      <c r="AM302" s="87"/>
      <c r="AN302" s="90" t="s">
        <v>123</v>
      </c>
      <c r="AO302" s="92" t="s">
        <v>1521</v>
      </c>
      <c r="AP302" s="82"/>
      <c r="AQ302" s="87" t="s">
        <v>60</v>
      </c>
      <c r="AR302" s="87" t="s">
        <v>77</v>
      </c>
      <c r="AS302" s="82"/>
      <c r="AT302" s="87">
        <v>2</v>
      </c>
      <c r="AU302" s="87">
        <v>5</v>
      </c>
      <c r="AV302" s="87">
        <f t="shared" si="35"/>
        <v>7</v>
      </c>
      <c r="AW302" s="87" t="str">
        <f t="shared" si="31"/>
        <v>No Aplica</v>
      </c>
      <c r="AX302" s="87" t="s">
        <v>78</v>
      </c>
      <c r="AY302" s="87"/>
      <c r="AZ302" s="87"/>
      <c r="BA302" s="91" t="s">
        <v>1522</v>
      </c>
      <c r="BB302" s="84"/>
      <c r="BC302" s="85"/>
      <c r="BD302" s="85"/>
    </row>
    <row r="303" spans="1:56" s="86" customFormat="1" ht="46.5" customHeight="1">
      <c r="A303" s="87">
        <v>298</v>
      </c>
      <c r="B303" s="79" t="s">
        <v>1523</v>
      </c>
      <c r="C303" s="88">
        <v>45399</v>
      </c>
      <c r="D303" s="89">
        <v>0.41666666666666669</v>
      </c>
      <c r="E303" s="87" t="s">
        <v>58</v>
      </c>
      <c r="F303" s="87" t="s">
        <v>135</v>
      </c>
      <c r="G303" s="87" t="s">
        <v>95</v>
      </c>
      <c r="H303" s="90" t="s">
        <v>1524</v>
      </c>
      <c r="I303" s="90" t="s">
        <v>64</v>
      </c>
      <c r="J303" s="87" t="s">
        <v>70</v>
      </c>
      <c r="K303" s="87" t="s">
        <v>71</v>
      </c>
      <c r="L303" s="90" t="s">
        <v>1525</v>
      </c>
      <c r="M303" s="91">
        <v>3005735987</v>
      </c>
      <c r="N303" s="90" t="s">
        <v>1526</v>
      </c>
      <c r="O303" s="90" t="str">
        <f t="shared" si="32"/>
        <v>Rafael Uribe Uribe</v>
      </c>
      <c r="P303" s="87" t="s">
        <v>414</v>
      </c>
      <c r="Q303" s="87"/>
      <c r="R303" s="87"/>
      <c r="S303" s="87"/>
      <c r="T303" s="87"/>
      <c r="U303" s="87"/>
      <c r="V303" s="90" t="str">
        <f t="shared" si="33"/>
        <v>Suroriente</v>
      </c>
      <c r="W303" s="87" t="s">
        <v>108</v>
      </c>
      <c r="X303" s="87"/>
      <c r="Y303" s="87"/>
      <c r="Z303" s="87"/>
      <c r="AA303" s="87"/>
      <c r="AB303" s="87"/>
      <c r="AC303" s="90" t="str">
        <f t="shared" si="34"/>
        <v>Rafael Uribe, San Cristobal</v>
      </c>
      <c r="AD303" s="87" t="s">
        <v>467</v>
      </c>
      <c r="AE303" s="87" t="s">
        <v>371</v>
      </c>
      <c r="AF303" s="87"/>
      <c r="AG303" s="87"/>
      <c r="AH303" s="87"/>
      <c r="AI303" s="87"/>
      <c r="AJ303" s="87"/>
      <c r="AK303" s="87"/>
      <c r="AL303" s="87"/>
      <c r="AM303" s="87"/>
      <c r="AN303" s="90" t="s">
        <v>160</v>
      </c>
      <c r="AO303" s="92" t="s">
        <v>1527</v>
      </c>
      <c r="AP303" s="82"/>
      <c r="AQ303" s="87" t="s">
        <v>60</v>
      </c>
      <c r="AR303" s="87" t="s">
        <v>77</v>
      </c>
      <c r="AS303" s="82"/>
      <c r="AT303" s="87">
        <v>1</v>
      </c>
      <c r="AU303" s="87">
        <v>3</v>
      </c>
      <c r="AV303" s="87">
        <f t="shared" si="35"/>
        <v>4</v>
      </c>
      <c r="AW303" s="87" t="str">
        <f t="shared" ref="AW303:AW366" si="36">_xlfn.TEXTJOIN(", ",TRUE,$AX303:$AZ303)</f>
        <v>No Aplica</v>
      </c>
      <c r="AX303" s="87" t="s">
        <v>78</v>
      </c>
      <c r="AY303" s="87"/>
      <c r="AZ303" s="87"/>
      <c r="BA303" s="91" t="s">
        <v>1528</v>
      </c>
      <c r="BB303" s="84"/>
      <c r="BC303" s="85"/>
      <c r="BD303" s="85"/>
    </row>
    <row r="304" spans="1:56" s="86" customFormat="1" ht="46.5" customHeight="1">
      <c r="A304" s="78">
        <v>299</v>
      </c>
      <c r="B304" s="79" t="s">
        <v>1529</v>
      </c>
      <c r="C304" s="88">
        <v>45399</v>
      </c>
      <c r="D304" s="89">
        <v>0.45833333333333331</v>
      </c>
      <c r="E304" s="87" t="s">
        <v>58</v>
      </c>
      <c r="F304" s="87" t="s">
        <v>135</v>
      </c>
      <c r="G304" s="87" t="s">
        <v>95</v>
      </c>
      <c r="H304" s="90" t="s">
        <v>1530</v>
      </c>
      <c r="I304" s="90" t="s">
        <v>64</v>
      </c>
      <c r="J304" s="87" t="s">
        <v>70</v>
      </c>
      <c r="K304" s="87" t="s">
        <v>71</v>
      </c>
      <c r="L304" s="90" t="s">
        <v>1531</v>
      </c>
      <c r="M304" s="91">
        <v>3124693701</v>
      </c>
      <c r="N304" s="90" t="s">
        <v>1317</v>
      </c>
      <c r="O304" s="90" t="str">
        <f t="shared" si="32"/>
        <v>Antonio Nariño</v>
      </c>
      <c r="P304" s="87" t="s">
        <v>413</v>
      </c>
      <c r="Q304" s="87"/>
      <c r="R304" s="87"/>
      <c r="S304" s="87"/>
      <c r="T304" s="87"/>
      <c r="U304" s="87"/>
      <c r="V304" s="90" t="str">
        <f t="shared" si="33"/>
        <v>Centro Ampliado</v>
      </c>
      <c r="W304" s="87" t="s">
        <v>415</v>
      </c>
      <c r="X304" s="87"/>
      <c r="Y304" s="87"/>
      <c r="Z304" s="87"/>
      <c r="AA304" s="87"/>
      <c r="AB304" s="87"/>
      <c r="AC304" s="90" t="str">
        <f t="shared" si="34"/>
        <v>Restrepo</v>
      </c>
      <c r="AD304" s="87" t="s">
        <v>416</v>
      </c>
      <c r="AE304" s="87"/>
      <c r="AF304" s="87"/>
      <c r="AG304" s="87"/>
      <c r="AH304" s="87"/>
      <c r="AI304" s="87"/>
      <c r="AJ304" s="87"/>
      <c r="AK304" s="87"/>
      <c r="AL304" s="87"/>
      <c r="AM304" s="87"/>
      <c r="AN304" s="90" t="s">
        <v>416</v>
      </c>
      <c r="AO304" s="92" t="s">
        <v>1532</v>
      </c>
      <c r="AP304" s="82"/>
      <c r="AQ304" s="87" t="s">
        <v>60</v>
      </c>
      <c r="AR304" s="87" t="s">
        <v>77</v>
      </c>
      <c r="AS304" s="82"/>
      <c r="AT304" s="87">
        <v>4</v>
      </c>
      <c r="AU304" s="87">
        <v>4</v>
      </c>
      <c r="AV304" s="87">
        <f t="shared" si="35"/>
        <v>8</v>
      </c>
      <c r="AW304" s="87" t="str">
        <f t="shared" si="36"/>
        <v>No Aplica</v>
      </c>
      <c r="AX304" s="87" t="s">
        <v>78</v>
      </c>
      <c r="AY304" s="87"/>
      <c r="AZ304" s="87"/>
      <c r="BA304" s="91" t="s">
        <v>1533</v>
      </c>
      <c r="BB304" s="84"/>
      <c r="BC304" s="85"/>
      <c r="BD304" s="85"/>
    </row>
    <row r="305" spans="1:56" s="86" customFormat="1" ht="46.5" customHeight="1">
      <c r="A305" s="87">
        <v>300</v>
      </c>
      <c r="B305" s="79" t="s">
        <v>1534</v>
      </c>
      <c r="C305" s="88">
        <v>45399</v>
      </c>
      <c r="D305" s="89">
        <v>0.45833333333333331</v>
      </c>
      <c r="E305" s="87" t="s">
        <v>58</v>
      </c>
      <c r="F305" s="87" t="s">
        <v>135</v>
      </c>
      <c r="G305" s="87" t="s">
        <v>95</v>
      </c>
      <c r="H305" s="90" t="s">
        <v>1535</v>
      </c>
      <c r="I305" s="90" t="s">
        <v>64</v>
      </c>
      <c r="J305" s="87" t="s">
        <v>70</v>
      </c>
      <c r="K305" s="87" t="s">
        <v>71</v>
      </c>
      <c r="L305" s="90" t="s">
        <v>1317</v>
      </c>
      <c r="M305" s="91" t="s">
        <v>72</v>
      </c>
      <c r="N305" s="91" t="s">
        <v>72</v>
      </c>
      <c r="O305" s="90" t="str">
        <f t="shared" si="32"/>
        <v>Fontibón</v>
      </c>
      <c r="P305" s="87" t="s">
        <v>420</v>
      </c>
      <c r="Q305" s="87"/>
      <c r="R305" s="87"/>
      <c r="S305" s="87"/>
      <c r="T305" s="87"/>
      <c r="U305" s="87"/>
      <c r="V305" s="90" t="str">
        <f t="shared" si="33"/>
        <v>Occidente</v>
      </c>
      <c r="W305" s="87" t="s">
        <v>124</v>
      </c>
      <c r="X305" s="87"/>
      <c r="Y305" s="87"/>
      <c r="Z305" s="87"/>
      <c r="AA305" s="87"/>
      <c r="AB305" s="87"/>
      <c r="AC305" s="90" t="str">
        <f t="shared" si="34"/>
        <v>Fontibón, Salitre</v>
      </c>
      <c r="AD305" s="87" t="s">
        <v>420</v>
      </c>
      <c r="AE305" s="87" t="s">
        <v>258</v>
      </c>
      <c r="AF305" s="87"/>
      <c r="AG305" s="87"/>
      <c r="AH305" s="87"/>
      <c r="AI305" s="87"/>
      <c r="AJ305" s="87"/>
      <c r="AK305" s="87"/>
      <c r="AL305" s="87"/>
      <c r="AM305" s="87"/>
      <c r="AN305" s="90" t="s">
        <v>160</v>
      </c>
      <c r="AO305" s="92" t="s">
        <v>1536</v>
      </c>
      <c r="AP305" s="82"/>
      <c r="AQ305" s="87" t="s">
        <v>60</v>
      </c>
      <c r="AR305" s="87" t="s">
        <v>77</v>
      </c>
      <c r="AS305" s="82"/>
      <c r="AT305" s="87">
        <v>2</v>
      </c>
      <c r="AU305" s="87">
        <v>4</v>
      </c>
      <c r="AV305" s="87">
        <f t="shared" si="35"/>
        <v>6</v>
      </c>
      <c r="AW305" s="87" t="str">
        <f t="shared" si="36"/>
        <v>No Aplica</v>
      </c>
      <c r="AX305" s="87" t="s">
        <v>78</v>
      </c>
      <c r="AY305" s="87"/>
      <c r="AZ305" s="87"/>
      <c r="BA305" s="91" t="s">
        <v>1537</v>
      </c>
      <c r="BB305" s="84"/>
      <c r="BC305" s="85"/>
      <c r="BD305" s="85"/>
    </row>
    <row r="306" spans="1:56" s="86" customFormat="1" ht="46.5" customHeight="1">
      <c r="A306" s="78">
        <v>301</v>
      </c>
      <c r="B306" s="79" t="s">
        <v>1538</v>
      </c>
      <c r="C306" s="88">
        <v>45399</v>
      </c>
      <c r="D306" s="89">
        <v>0.45833333333333331</v>
      </c>
      <c r="E306" s="87" t="s">
        <v>58</v>
      </c>
      <c r="F306" s="87" t="s">
        <v>135</v>
      </c>
      <c r="G306" s="87" t="s">
        <v>95</v>
      </c>
      <c r="H306" s="90" t="s">
        <v>1539</v>
      </c>
      <c r="I306" s="90" t="s">
        <v>64</v>
      </c>
      <c r="J306" s="87" t="s">
        <v>70</v>
      </c>
      <c r="K306" s="87" t="s">
        <v>71</v>
      </c>
      <c r="L306" s="90" t="s">
        <v>1540</v>
      </c>
      <c r="M306" s="91">
        <v>3168772899</v>
      </c>
      <c r="N306" s="90" t="s">
        <v>1541</v>
      </c>
      <c r="O306" s="90" t="str">
        <f t="shared" si="32"/>
        <v>Tunjuelito</v>
      </c>
      <c r="P306" s="87" t="s">
        <v>618</v>
      </c>
      <c r="Q306" s="87"/>
      <c r="R306" s="87"/>
      <c r="S306" s="87"/>
      <c r="T306" s="87"/>
      <c r="U306" s="87"/>
      <c r="V306" s="90" t="str">
        <f t="shared" si="33"/>
        <v>Suroriente</v>
      </c>
      <c r="W306" s="87" t="s">
        <v>108</v>
      </c>
      <c r="X306" s="87"/>
      <c r="Y306" s="87"/>
      <c r="Z306" s="87"/>
      <c r="AA306" s="87"/>
      <c r="AB306" s="87"/>
      <c r="AC306" s="90" t="str">
        <f t="shared" si="34"/>
        <v>Tunjuelito, Arborizadora</v>
      </c>
      <c r="AD306" s="87" t="s">
        <v>618</v>
      </c>
      <c r="AE306" s="87" t="s">
        <v>110</v>
      </c>
      <c r="AF306" s="87"/>
      <c r="AG306" s="87"/>
      <c r="AH306" s="87"/>
      <c r="AI306" s="87"/>
      <c r="AJ306" s="87"/>
      <c r="AK306" s="87"/>
      <c r="AL306" s="87"/>
      <c r="AM306" s="87"/>
      <c r="AN306" s="90" t="s">
        <v>618</v>
      </c>
      <c r="AO306" s="92" t="s">
        <v>1542</v>
      </c>
      <c r="AP306" s="82"/>
      <c r="AQ306" s="87" t="s">
        <v>60</v>
      </c>
      <c r="AR306" s="87" t="s">
        <v>77</v>
      </c>
      <c r="AS306" s="82"/>
      <c r="AT306" s="87">
        <v>3</v>
      </c>
      <c r="AU306" s="87">
        <v>2</v>
      </c>
      <c r="AV306" s="87">
        <f t="shared" si="35"/>
        <v>5</v>
      </c>
      <c r="AW306" s="87" t="str">
        <f t="shared" si="36"/>
        <v>No Aplica</v>
      </c>
      <c r="AX306" s="87" t="s">
        <v>78</v>
      </c>
      <c r="AY306" s="87"/>
      <c r="AZ306" s="87"/>
      <c r="BA306" s="91" t="s">
        <v>1543</v>
      </c>
      <c r="BB306" s="84"/>
      <c r="BC306" s="85"/>
      <c r="BD306" s="85"/>
    </row>
    <row r="307" spans="1:56" s="86" customFormat="1" ht="46.5" customHeight="1">
      <c r="A307" s="87">
        <v>302</v>
      </c>
      <c r="B307" s="79" t="s">
        <v>1544</v>
      </c>
      <c r="C307" s="88">
        <v>45399</v>
      </c>
      <c r="D307" s="89">
        <v>0.5</v>
      </c>
      <c r="E307" s="87" t="s">
        <v>58</v>
      </c>
      <c r="F307" s="87" t="s">
        <v>135</v>
      </c>
      <c r="G307" s="87" t="s">
        <v>95</v>
      </c>
      <c r="H307" s="90" t="s">
        <v>1545</v>
      </c>
      <c r="I307" s="90" t="s">
        <v>64</v>
      </c>
      <c r="J307" s="87" t="s">
        <v>70</v>
      </c>
      <c r="K307" s="87" t="s">
        <v>71</v>
      </c>
      <c r="L307" s="90" t="s">
        <v>1546</v>
      </c>
      <c r="M307" s="91" t="s">
        <v>72</v>
      </c>
      <c r="N307" s="90" t="s">
        <v>1547</v>
      </c>
      <c r="O307" s="90" t="str">
        <f t="shared" si="32"/>
        <v>Bosa</v>
      </c>
      <c r="P307" s="87" t="s">
        <v>472</v>
      </c>
      <c r="Q307" s="87"/>
      <c r="R307" s="87"/>
      <c r="S307" s="87"/>
      <c r="T307" s="87"/>
      <c r="U307" s="87"/>
      <c r="V307" s="90" t="str">
        <f t="shared" si="33"/>
        <v>Suroccidente</v>
      </c>
      <c r="W307" s="87" t="s">
        <v>474</v>
      </c>
      <c r="X307" s="87"/>
      <c r="Y307" s="87"/>
      <c r="Z307" s="87"/>
      <c r="AA307" s="87"/>
      <c r="AB307" s="87"/>
      <c r="AC307" s="90" t="str">
        <f t="shared" si="34"/>
        <v>Bosa, Edén, Porvenir</v>
      </c>
      <c r="AD307" s="87" t="s">
        <v>472</v>
      </c>
      <c r="AE307" s="87" t="s">
        <v>704</v>
      </c>
      <c r="AF307" s="87" t="s">
        <v>705</v>
      </c>
      <c r="AG307" s="87"/>
      <c r="AH307" s="87"/>
      <c r="AI307" s="87"/>
      <c r="AJ307" s="87"/>
      <c r="AK307" s="87"/>
      <c r="AL307" s="87"/>
      <c r="AM307" s="87"/>
      <c r="AN307" s="90" t="s">
        <v>1375</v>
      </c>
      <c r="AO307" s="92" t="s">
        <v>1548</v>
      </c>
      <c r="AP307" s="82"/>
      <c r="AQ307" s="87" t="s">
        <v>60</v>
      </c>
      <c r="AR307" s="87" t="s">
        <v>77</v>
      </c>
      <c r="AS307" s="82"/>
      <c r="AT307" s="87">
        <v>2</v>
      </c>
      <c r="AU307" s="87">
        <v>4</v>
      </c>
      <c r="AV307" s="87">
        <f t="shared" si="35"/>
        <v>6</v>
      </c>
      <c r="AW307" s="87" t="str">
        <f t="shared" si="36"/>
        <v>No Aplica</v>
      </c>
      <c r="AX307" s="87" t="s">
        <v>78</v>
      </c>
      <c r="AY307" s="87"/>
      <c r="AZ307" s="87"/>
      <c r="BA307" s="91" t="s">
        <v>1549</v>
      </c>
      <c r="BB307" s="84"/>
      <c r="BC307" s="85"/>
      <c r="BD307" s="85"/>
    </row>
    <row r="308" spans="1:56" s="86" customFormat="1" ht="46.5" customHeight="1">
      <c r="A308" s="78">
        <v>303</v>
      </c>
      <c r="B308" s="79" t="s">
        <v>1550</v>
      </c>
      <c r="C308" s="88">
        <v>45399</v>
      </c>
      <c r="D308" s="89">
        <v>0.54166666666666663</v>
      </c>
      <c r="E308" s="87" t="s">
        <v>58</v>
      </c>
      <c r="F308" s="87" t="s">
        <v>135</v>
      </c>
      <c r="G308" s="87" t="s">
        <v>95</v>
      </c>
      <c r="H308" s="90" t="s">
        <v>1551</v>
      </c>
      <c r="I308" s="90" t="s">
        <v>64</v>
      </c>
      <c r="J308" s="87" t="s">
        <v>70</v>
      </c>
      <c r="K308" s="87" t="s">
        <v>71</v>
      </c>
      <c r="L308" s="90" t="s">
        <v>1552</v>
      </c>
      <c r="M308" s="91" t="s">
        <v>1316</v>
      </c>
      <c r="N308" s="90" t="s">
        <v>1316</v>
      </c>
      <c r="O308" s="90" t="str">
        <f t="shared" si="32"/>
        <v>San Cristóbal</v>
      </c>
      <c r="P308" s="87" t="s">
        <v>370</v>
      </c>
      <c r="Q308" s="87"/>
      <c r="R308" s="87"/>
      <c r="S308" s="87"/>
      <c r="T308" s="87"/>
      <c r="U308" s="87"/>
      <c r="V308" s="90" t="str">
        <f t="shared" si="33"/>
        <v>Suroriente</v>
      </c>
      <c r="W308" s="87" t="s">
        <v>108</v>
      </c>
      <c r="X308" s="87"/>
      <c r="Y308" s="87"/>
      <c r="Z308" s="87"/>
      <c r="AA308" s="87"/>
      <c r="AB308" s="87"/>
      <c r="AC308" s="90" t="str">
        <f t="shared" si="34"/>
        <v>San Cristobal</v>
      </c>
      <c r="AD308" s="87" t="s">
        <v>371</v>
      </c>
      <c r="AE308" s="87"/>
      <c r="AF308" s="87"/>
      <c r="AG308" s="87"/>
      <c r="AH308" s="87"/>
      <c r="AI308" s="87"/>
      <c r="AJ308" s="87"/>
      <c r="AK308" s="87"/>
      <c r="AL308" s="87"/>
      <c r="AM308" s="87"/>
      <c r="AN308" s="90" t="s">
        <v>1553</v>
      </c>
      <c r="AO308" s="92" t="s">
        <v>1554</v>
      </c>
      <c r="AP308" s="82"/>
      <c r="AQ308" s="87" t="s">
        <v>60</v>
      </c>
      <c r="AR308" s="87" t="s">
        <v>77</v>
      </c>
      <c r="AS308" s="82"/>
      <c r="AT308" s="87">
        <v>1</v>
      </c>
      <c r="AU308" s="87">
        <v>4</v>
      </c>
      <c r="AV308" s="87">
        <f t="shared" si="35"/>
        <v>5</v>
      </c>
      <c r="AW308" s="87" t="str">
        <f t="shared" si="36"/>
        <v>No Aplica</v>
      </c>
      <c r="AX308" s="87" t="s">
        <v>78</v>
      </c>
      <c r="AY308" s="87"/>
      <c r="AZ308" s="87"/>
      <c r="BA308" s="91" t="s">
        <v>1555</v>
      </c>
      <c r="BB308" s="84"/>
      <c r="BC308" s="85"/>
      <c r="BD308" s="85"/>
    </row>
    <row r="309" spans="1:56" s="86" customFormat="1" ht="46.5" customHeight="1">
      <c r="A309" s="87">
        <v>304</v>
      </c>
      <c r="B309" s="79" t="s">
        <v>1556</v>
      </c>
      <c r="C309" s="88">
        <v>45399</v>
      </c>
      <c r="D309" s="89">
        <v>0.54166666666666663</v>
      </c>
      <c r="E309" s="87" t="s">
        <v>58</v>
      </c>
      <c r="F309" s="87" t="s">
        <v>135</v>
      </c>
      <c r="G309" s="87" t="s">
        <v>95</v>
      </c>
      <c r="H309" s="90" t="s">
        <v>1557</v>
      </c>
      <c r="I309" s="90" t="s">
        <v>64</v>
      </c>
      <c r="J309" s="87" t="s">
        <v>70</v>
      </c>
      <c r="K309" s="87" t="s">
        <v>71</v>
      </c>
      <c r="L309" s="90" t="s">
        <v>232</v>
      </c>
      <c r="M309" s="91" t="s">
        <v>1558</v>
      </c>
      <c r="N309" s="90" t="s">
        <v>233</v>
      </c>
      <c r="O309" s="90" t="str">
        <f t="shared" si="32"/>
        <v>Los Mártires</v>
      </c>
      <c r="P309" s="87" t="s">
        <v>542</v>
      </c>
      <c r="Q309" s="87"/>
      <c r="R309" s="87"/>
      <c r="S309" s="87"/>
      <c r="T309" s="87"/>
      <c r="U309" s="87"/>
      <c r="V309" s="90" t="str">
        <f t="shared" si="33"/>
        <v>Centro Ampliado</v>
      </c>
      <c r="W309" s="87" t="s">
        <v>415</v>
      </c>
      <c r="X309" s="87"/>
      <c r="Y309" s="87"/>
      <c r="Z309" s="87"/>
      <c r="AA309" s="87"/>
      <c r="AB309" s="87"/>
      <c r="AC309" s="90" t="str">
        <f t="shared" si="34"/>
        <v>Centro Histórico</v>
      </c>
      <c r="AD309" s="87" t="s">
        <v>488</v>
      </c>
      <c r="AE309" s="87"/>
      <c r="AF309" s="87"/>
      <c r="AG309" s="87"/>
      <c r="AH309" s="87"/>
      <c r="AI309" s="87"/>
      <c r="AJ309" s="87"/>
      <c r="AK309" s="87"/>
      <c r="AL309" s="87"/>
      <c r="AM309" s="87"/>
      <c r="AN309" s="90" t="s">
        <v>541</v>
      </c>
      <c r="AO309" s="92" t="s">
        <v>1559</v>
      </c>
      <c r="AP309" s="82"/>
      <c r="AQ309" s="87" t="s">
        <v>60</v>
      </c>
      <c r="AR309" s="87" t="s">
        <v>77</v>
      </c>
      <c r="AS309" s="82"/>
      <c r="AT309" s="87">
        <v>0</v>
      </c>
      <c r="AU309" s="87">
        <v>6</v>
      </c>
      <c r="AV309" s="87">
        <f t="shared" si="35"/>
        <v>6</v>
      </c>
      <c r="AW309" s="87" t="str">
        <f t="shared" si="36"/>
        <v>No Aplica</v>
      </c>
      <c r="AX309" s="87" t="s">
        <v>78</v>
      </c>
      <c r="AY309" s="87"/>
      <c r="AZ309" s="87"/>
      <c r="BA309" s="91" t="s">
        <v>1560</v>
      </c>
      <c r="BB309" s="84"/>
      <c r="BC309" s="85"/>
      <c r="BD309" s="85"/>
    </row>
    <row r="310" spans="1:56" s="86" customFormat="1" ht="46.5" customHeight="1">
      <c r="A310" s="78">
        <v>305</v>
      </c>
      <c r="B310" s="79" t="s">
        <v>1561</v>
      </c>
      <c r="C310" s="88">
        <v>45399</v>
      </c>
      <c r="D310" s="89">
        <v>0.58333333333333337</v>
      </c>
      <c r="E310" s="87" t="s">
        <v>93</v>
      </c>
      <c r="F310" s="87" t="s">
        <v>321</v>
      </c>
      <c r="G310" s="87" t="s">
        <v>62</v>
      </c>
      <c r="H310" s="90" t="s">
        <v>1562</v>
      </c>
      <c r="I310" s="90" t="s">
        <v>64</v>
      </c>
      <c r="J310" s="87" t="s">
        <v>70</v>
      </c>
      <c r="K310" s="87" t="s">
        <v>324</v>
      </c>
      <c r="L310" s="90" t="s">
        <v>1563</v>
      </c>
      <c r="M310" s="91">
        <v>3228582649</v>
      </c>
      <c r="N310" s="90" t="s">
        <v>72</v>
      </c>
      <c r="O310" s="90" t="str">
        <f t="shared" si="32"/>
        <v>Kennedy</v>
      </c>
      <c r="P310" s="87" t="s">
        <v>473</v>
      </c>
      <c r="Q310" s="87"/>
      <c r="R310" s="87"/>
      <c r="S310" s="87"/>
      <c r="T310" s="87"/>
      <c r="U310" s="87"/>
      <c r="V310" s="90" t="str">
        <f t="shared" si="33"/>
        <v>Suroccidente</v>
      </c>
      <c r="W310" s="87" t="s">
        <v>474</v>
      </c>
      <c r="X310" s="87"/>
      <c r="Y310" s="87"/>
      <c r="Z310" s="87"/>
      <c r="AA310" s="87"/>
      <c r="AB310" s="87"/>
      <c r="AC310" s="90" t="str">
        <f t="shared" si="34"/>
        <v>Kennedy, Patio Bonito, Tintal</v>
      </c>
      <c r="AD310" s="87" t="s">
        <v>473</v>
      </c>
      <c r="AE310" s="87" t="s">
        <v>639</v>
      </c>
      <c r="AF310" s="87" t="s">
        <v>1134</v>
      </c>
      <c r="AG310" s="87"/>
      <c r="AH310" s="87"/>
      <c r="AI310" s="87"/>
      <c r="AJ310" s="87"/>
      <c r="AK310" s="87"/>
      <c r="AL310" s="87"/>
      <c r="AM310" s="87"/>
      <c r="AN310" s="90" t="s">
        <v>160</v>
      </c>
      <c r="AO310" s="90" t="s">
        <v>1564</v>
      </c>
      <c r="AP310" s="82"/>
      <c r="AQ310" s="87" t="s">
        <v>59</v>
      </c>
      <c r="AR310" s="87" t="s">
        <v>80</v>
      </c>
      <c r="AS310" s="82"/>
      <c r="AT310" s="87">
        <v>15</v>
      </c>
      <c r="AU310" s="87">
        <v>1</v>
      </c>
      <c r="AV310" s="87">
        <f t="shared" si="35"/>
        <v>16</v>
      </c>
      <c r="AW310" s="87" t="str">
        <f t="shared" si="36"/>
        <v>No Aplica</v>
      </c>
      <c r="AX310" s="87" t="s">
        <v>78</v>
      </c>
      <c r="AY310" s="87"/>
      <c r="AZ310" s="87"/>
      <c r="BA310" s="91" t="s">
        <v>1565</v>
      </c>
      <c r="BB310" s="84"/>
      <c r="BC310" s="85"/>
      <c r="BD310" s="85"/>
    </row>
    <row r="311" spans="1:56" s="86" customFormat="1" ht="46.5" customHeight="1">
      <c r="A311" s="87">
        <v>306</v>
      </c>
      <c r="B311" s="79" t="s">
        <v>1566</v>
      </c>
      <c r="C311" s="88">
        <v>45399</v>
      </c>
      <c r="D311" s="89">
        <v>0.58333333333333337</v>
      </c>
      <c r="E311" s="87" t="s">
        <v>58</v>
      </c>
      <c r="F311" s="87" t="s">
        <v>1184</v>
      </c>
      <c r="G311" s="87" t="s">
        <v>62</v>
      </c>
      <c r="H311" s="90" t="s">
        <v>1567</v>
      </c>
      <c r="I311" s="90" t="s">
        <v>188</v>
      </c>
      <c r="J311" s="87" t="s">
        <v>173</v>
      </c>
      <c r="K311" s="87"/>
      <c r="L311" s="90" t="s">
        <v>72</v>
      </c>
      <c r="M311" s="91" t="s">
        <v>72</v>
      </c>
      <c r="N311" s="90" t="s">
        <v>72</v>
      </c>
      <c r="O311" s="90" t="str">
        <f t="shared" si="32"/>
        <v>Kennedy</v>
      </c>
      <c r="P311" s="87" t="s">
        <v>473</v>
      </c>
      <c r="Q311" s="87"/>
      <c r="R311" s="87"/>
      <c r="S311" s="87"/>
      <c r="T311" s="87"/>
      <c r="U311" s="87"/>
      <c r="V311" s="90" t="str">
        <f t="shared" si="33"/>
        <v>Suroccidente</v>
      </c>
      <c r="W311" s="87" t="s">
        <v>474</v>
      </c>
      <c r="X311" s="87"/>
      <c r="Y311" s="87"/>
      <c r="Z311" s="87"/>
      <c r="AA311" s="87"/>
      <c r="AB311" s="87"/>
      <c r="AC311" s="90" t="str">
        <f t="shared" si="34"/>
        <v>Kennedy</v>
      </c>
      <c r="AD311" s="87" t="s">
        <v>473</v>
      </c>
      <c r="AE311" s="87"/>
      <c r="AF311" s="87"/>
      <c r="AG311" s="87"/>
      <c r="AH311" s="87"/>
      <c r="AI311" s="87"/>
      <c r="AJ311" s="87"/>
      <c r="AK311" s="87"/>
      <c r="AL311" s="87"/>
      <c r="AM311" s="87"/>
      <c r="AN311" s="90" t="s">
        <v>473</v>
      </c>
      <c r="AO311" s="90" t="s">
        <v>1568</v>
      </c>
      <c r="AP311" s="82"/>
      <c r="AQ311" s="87" t="s">
        <v>59</v>
      </c>
      <c r="AR311" s="87" t="s">
        <v>80</v>
      </c>
      <c r="AS311" s="82"/>
      <c r="AT311" s="87">
        <v>40</v>
      </c>
      <c r="AU311" s="87">
        <v>1</v>
      </c>
      <c r="AV311" s="87">
        <f t="shared" si="35"/>
        <v>41</v>
      </c>
      <c r="AW311" s="87" t="str">
        <f t="shared" si="36"/>
        <v>No Aplica</v>
      </c>
      <c r="AX311" s="87" t="s">
        <v>78</v>
      </c>
      <c r="AY311" s="87"/>
      <c r="AZ311" s="87"/>
      <c r="BA311" s="91" t="s">
        <v>1569</v>
      </c>
      <c r="BB311" s="84"/>
      <c r="BC311" s="85"/>
      <c r="BD311" s="85"/>
    </row>
    <row r="312" spans="1:56" s="86" customFormat="1" ht="46.5" customHeight="1">
      <c r="A312" s="78">
        <v>307</v>
      </c>
      <c r="B312" s="79" t="s">
        <v>1570</v>
      </c>
      <c r="C312" s="88">
        <v>45399</v>
      </c>
      <c r="D312" s="89">
        <v>0.58333333333333337</v>
      </c>
      <c r="E312" s="87" t="s">
        <v>58</v>
      </c>
      <c r="F312" s="87" t="s">
        <v>135</v>
      </c>
      <c r="G312" s="87" t="s">
        <v>95</v>
      </c>
      <c r="H312" s="90" t="s">
        <v>1571</v>
      </c>
      <c r="I312" s="90" t="s">
        <v>64</v>
      </c>
      <c r="J312" s="87" t="s">
        <v>70</v>
      </c>
      <c r="K312" s="87" t="s">
        <v>71</v>
      </c>
      <c r="L312" s="90" t="s">
        <v>72</v>
      </c>
      <c r="M312" s="90" t="s">
        <v>72</v>
      </c>
      <c r="N312" s="90" t="s">
        <v>72</v>
      </c>
      <c r="O312" s="90" t="str">
        <f t="shared" si="32"/>
        <v>Santa Fe</v>
      </c>
      <c r="P312" s="87" t="s">
        <v>541</v>
      </c>
      <c r="Q312" s="87"/>
      <c r="R312" s="87"/>
      <c r="S312" s="87"/>
      <c r="T312" s="87"/>
      <c r="U312" s="87"/>
      <c r="V312" s="90" t="str">
        <f t="shared" si="33"/>
        <v>Centro Ampliado</v>
      </c>
      <c r="W312" s="87" t="s">
        <v>415</v>
      </c>
      <c r="X312" s="87"/>
      <c r="Y312" s="87"/>
      <c r="Z312" s="87"/>
      <c r="AA312" s="87"/>
      <c r="AB312" s="87"/>
      <c r="AC312" s="90" t="str">
        <f t="shared" si="34"/>
        <v>Centro Histórico</v>
      </c>
      <c r="AD312" s="87" t="s">
        <v>488</v>
      </c>
      <c r="AE312" s="87"/>
      <c r="AF312" s="87"/>
      <c r="AG312" s="87"/>
      <c r="AH312" s="87"/>
      <c r="AI312" s="87"/>
      <c r="AJ312" s="87"/>
      <c r="AK312" s="87"/>
      <c r="AL312" s="87"/>
      <c r="AM312" s="87"/>
      <c r="AN312" s="90" t="s">
        <v>160</v>
      </c>
      <c r="AO312" s="92" t="s">
        <v>1572</v>
      </c>
      <c r="AP312" s="82"/>
      <c r="AQ312" s="87" t="s">
        <v>60</v>
      </c>
      <c r="AR312" s="87" t="s">
        <v>77</v>
      </c>
      <c r="AS312" s="82"/>
      <c r="AT312" s="87">
        <v>4</v>
      </c>
      <c r="AU312" s="87">
        <v>5</v>
      </c>
      <c r="AV312" s="87">
        <f t="shared" si="35"/>
        <v>9</v>
      </c>
      <c r="AW312" s="87" t="str">
        <f t="shared" si="36"/>
        <v>No Aplica</v>
      </c>
      <c r="AX312" s="87" t="s">
        <v>78</v>
      </c>
      <c r="AY312" s="87"/>
      <c r="AZ312" s="87"/>
      <c r="BA312" s="91" t="s">
        <v>1573</v>
      </c>
      <c r="BB312" s="84"/>
      <c r="BC312" s="85"/>
      <c r="BD312" s="85"/>
    </row>
    <row r="313" spans="1:56" s="86" customFormat="1" ht="46.5" customHeight="1">
      <c r="A313" s="87">
        <v>308</v>
      </c>
      <c r="B313" s="79" t="s">
        <v>1574</v>
      </c>
      <c r="C313" s="88">
        <v>45399</v>
      </c>
      <c r="D313" s="89">
        <v>0.625</v>
      </c>
      <c r="E313" s="87" t="s">
        <v>58</v>
      </c>
      <c r="F313" s="87" t="s">
        <v>135</v>
      </c>
      <c r="G313" s="87" t="s">
        <v>95</v>
      </c>
      <c r="H313" s="90" t="s">
        <v>1575</v>
      </c>
      <c r="I313" s="90" t="s">
        <v>64</v>
      </c>
      <c r="J313" s="87" t="s">
        <v>70</v>
      </c>
      <c r="K313" s="87" t="s">
        <v>71</v>
      </c>
      <c r="L313" s="90" t="s">
        <v>1576</v>
      </c>
      <c r="M313" s="91">
        <v>3102511032</v>
      </c>
      <c r="N313" s="90" t="s">
        <v>1577</v>
      </c>
      <c r="O313" s="90" t="str">
        <f t="shared" si="32"/>
        <v>Usaquén</v>
      </c>
      <c r="P313" s="87" t="s">
        <v>428</v>
      </c>
      <c r="Q313" s="87"/>
      <c r="R313" s="87"/>
      <c r="S313" s="87"/>
      <c r="T313" s="87"/>
      <c r="U313" s="87"/>
      <c r="V313" s="90" t="str">
        <f t="shared" si="33"/>
        <v>Norte</v>
      </c>
      <c r="W313" s="87" t="s">
        <v>429</v>
      </c>
      <c r="X313" s="87"/>
      <c r="Y313" s="87"/>
      <c r="Z313" s="87"/>
      <c r="AA313" s="87"/>
      <c r="AB313" s="87"/>
      <c r="AC313" s="90" t="str">
        <f t="shared" si="34"/>
        <v>Usaquén, Toberín, Torca</v>
      </c>
      <c r="AD313" s="87" t="s">
        <v>428</v>
      </c>
      <c r="AE313" s="87" t="s">
        <v>527</v>
      </c>
      <c r="AF313" s="87" t="s">
        <v>528</v>
      </c>
      <c r="AG313" s="87"/>
      <c r="AH313" s="87"/>
      <c r="AI313" s="87"/>
      <c r="AJ313" s="87"/>
      <c r="AK313" s="87"/>
      <c r="AL313" s="87"/>
      <c r="AM313" s="87"/>
      <c r="AN313" s="90" t="s">
        <v>1578</v>
      </c>
      <c r="AO313" s="92" t="s">
        <v>1579</v>
      </c>
      <c r="AP313" s="82"/>
      <c r="AQ313" s="87" t="s">
        <v>60</v>
      </c>
      <c r="AR313" s="87" t="s">
        <v>77</v>
      </c>
      <c r="AS313" s="82"/>
      <c r="AT313" s="87">
        <v>8</v>
      </c>
      <c r="AU313" s="87">
        <v>3</v>
      </c>
      <c r="AV313" s="87">
        <f t="shared" si="35"/>
        <v>11</v>
      </c>
      <c r="AW313" s="87" t="str">
        <f t="shared" si="36"/>
        <v>No Aplica</v>
      </c>
      <c r="AX313" s="87" t="s">
        <v>78</v>
      </c>
      <c r="AY313" s="87"/>
      <c r="AZ313" s="87"/>
      <c r="BA313" s="91" t="s">
        <v>1580</v>
      </c>
      <c r="BB313" s="84"/>
      <c r="BC313" s="85"/>
      <c r="BD313" s="85"/>
    </row>
    <row r="314" spans="1:56" s="86" customFormat="1" ht="46.5" customHeight="1">
      <c r="A314" s="78">
        <v>309</v>
      </c>
      <c r="B314" s="79" t="s">
        <v>1581</v>
      </c>
      <c r="C314" s="88">
        <v>45399</v>
      </c>
      <c r="D314" s="89">
        <v>0.625</v>
      </c>
      <c r="E314" s="87" t="s">
        <v>58</v>
      </c>
      <c r="F314" s="87" t="s">
        <v>135</v>
      </c>
      <c r="G314" s="87" t="s">
        <v>95</v>
      </c>
      <c r="H314" s="90" t="s">
        <v>1582</v>
      </c>
      <c r="I314" s="90" t="s">
        <v>64</v>
      </c>
      <c r="J314" s="87" t="s">
        <v>70</v>
      </c>
      <c r="K314" s="87" t="s">
        <v>71</v>
      </c>
      <c r="L314" s="90" t="s">
        <v>1583</v>
      </c>
      <c r="M314" s="91">
        <v>3016547014</v>
      </c>
      <c r="N314" s="90" t="s">
        <v>1584</v>
      </c>
      <c r="O314" s="90" t="str">
        <f t="shared" si="32"/>
        <v>Teusaquillo</v>
      </c>
      <c r="P314" s="87" t="s">
        <v>665</v>
      </c>
      <c r="Q314" s="87"/>
      <c r="R314" s="87"/>
      <c r="S314" s="87"/>
      <c r="T314" s="87"/>
      <c r="U314" s="87"/>
      <c r="V314" s="90" t="str">
        <f t="shared" si="33"/>
        <v>Centro Ampliado</v>
      </c>
      <c r="W314" s="87" t="s">
        <v>415</v>
      </c>
      <c r="X314" s="87"/>
      <c r="Y314" s="87"/>
      <c r="Z314" s="87"/>
      <c r="AA314" s="87"/>
      <c r="AB314" s="87"/>
      <c r="AC314" s="90" t="str">
        <f t="shared" si="34"/>
        <v>Teusaquillo</v>
      </c>
      <c r="AD314" s="87" t="s">
        <v>665</v>
      </c>
      <c r="AE314" s="87"/>
      <c r="AF314" s="87"/>
      <c r="AG314" s="87"/>
      <c r="AH314" s="87"/>
      <c r="AI314" s="87"/>
      <c r="AJ314" s="87"/>
      <c r="AK314" s="87"/>
      <c r="AL314" s="87"/>
      <c r="AM314" s="87"/>
      <c r="AN314" s="90" t="s">
        <v>160</v>
      </c>
      <c r="AO314" s="92" t="s">
        <v>1585</v>
      </c>
      <c r="AP314" s="82"/>
      <c r="AQ314" s="87" t="s">
        <v>60</v>
      </c>
      <c r="AR314" s="87" t="s">
        <v>77</v>
      </c>
      <c r="AS314" s="82"/>
      <c r="AT314" s="87">
        <v>0</v>
      </c>
      <c r="AU314" s="87">
        <v>3</v>
      </c>
      <c r="AV314" s="87">
        <f t="shared" si="35"/>
        <v>3</v>
      </c>
      <c r="AW314" s="87" t="str">
        <f t="shared" si="36"/>
        <v>No Aplica</v>
      </c>
      <c r="AX314" s="87" t="s">
        <v>78</v>
      </c>
      <c r="AY314" s="87"/>
      <c r="AZ314" s="87"/>
      <c r="BA314" s="91" t="s">
        <v>1586</v>
      </c>
      <c r="BB314" s="84"/>
      <c r="BC314" s="85"/>
      <c r="BD314" s="85"/>
    </row>
    <row r="315" spans="1:56" s="86" customFormat="1" ht="46.5" customHeight="1">
      <c r="A315" s="87">
        <v>310</v>
      </c>
      <c r="B315" s="79" t="s">
        <v>1587</v>
      </c>
      <c r="C315" s="88">
        <v>45399</v>
      </c>
      <c r="D315" s="89">
        <v>0.66666666666666663</v>
      </c>
      <c r="E315" s="87" t="s">
        <v>58</v>
      </c>
      <c r="F315" s="87" t="s">
        <v>135</v>
      </c>
      <c r="G315" s="87" t="s">
        <v>95</v>
      </c>
      <c r="H315" s="90" t="s">
        <v>1588</v>
      </c>
      <c r="I315" s="90" t="s">
        <v>64</v>
      </c>
      <c r="J315" s="87" t="s">
        <v>70</v>
      </c>
      <c r="K315" s="87" t="s">
        <v>71</v>
      </c>
      <c r="L315" s="90" t="s">
        <v>1589</v>
      </c>
      <c r="M315" s="91">
        <v>3138503712</v>
      </c>
      <c r="N315" s="90" t="s">
        <v>1590</v>
      </c>
      <c r="O315" s="90" t="str">
        <f t="shared" si="32"/>
        <v>La Candelaria</v>
      </c>
      <c r="P315" s="87" t="s">
        <v>487</v>
      </c>
      <c r="Q315" s="87"/>
      <c r="R315" s="87"/>
      <c r="S315" s="87"/>
      <c r="T315" s="87"/>
      <c r="U315" s="87"/>
      <c r="V315" s="90" t="str">
        <f t="shared" si="33"/>
        <v>Centro Ampliado</v>
      </c>
      <c r="W315" s="87" t="s">
        <v>415</v>
      </c>
      <c r="X315" s="87"/>
      <c r="Y315" s="87"/>
      <c r="Z315" s="87"/>
      <c r="AA315" s="87"/>
      <c r="AB315" s="87"/>
      <c r="AC315" s="90" t="str">
        <f t="shared" si="34"/>
        <v>Centro Histórico</v>
      </c>
      <c r="AD315" s="87" t="s">
        <v>488</v>
      </c>
      <c r="AE315" s="87"/>
      <c r="AF315" s="87"/>
      <c r="AG315" s="87"/>
      <c r="AH315" s="87"/>
      <c r="AI315" s="87"/>
      <c r="AJ315" s="87"/>
      <c r="AK315" s="87"/>
      <c r="AL315" s="87"/>
      <c r="AM315" s="87"/>
      <c r="AN315" s="90" t="s">
        <v>1591</v>
      </c>
      <c r="AO315" s="92" t="s">
        <v>1592</v>
      </c>
      <c r="AP315" s="82"/>
      <c r="AQ315" s="87" t="s">
        <v>60</v>
      </c>
      <c r="AR315" s="87" t="s">
        <v>77</v>
      </c>
      <c r="AS315" s="82"/>
      <c r="AT315" s="87">
        <v>1</v>
      </c>
      <c r="AU315" s="87">
        <v>5</v>
      </c>
      <c r="AV315" s="87">
        <f t="shared" si="35"/>
        <v>6</v>
      </c>
      <c r="AW315" s="87" t="str">
        <f t="shared" si="36"/>
        <v>No Aplica</v>
      </c>
      <c r="AX315" s="87" t="s">
        <v>78</v>
      </c>
      <c r="AY315" s="87"/>
      <c r="AZ315" s="87"/>
      <c r="BA315" s="91" t="s">
        <v>1593</v>
      </c>
      <c r="BB315" s="84"/>
      <c r="BC315" s="85"/>
      <c r="BD315" s="85"/>
    </row>
    <row r="316" spans="1:56" s="86" customFormat="1" ht="46.5" customHeight="1">
      <c r="A316" s="78">
        <v>311</v>
      </c>
      <c r="B316" s="79" t="s">
        <v>1594</v>
      </c>
      <c r="C316" s="88">
        <v>45399</v>
      </c>
      <c r="D316" s="89">
        <v>0.66666666666666663</v>
      </c>
      <c r="E316" s="87" t="s">
        <v>58</v>
      </c>
      <c r="F316" s="87" t="s">
        <v>135</v>
      </c>
      <c r="G316" s="87" t="s">
        <v>95</v>
      </c>
      <c r="H316" s="90" t="s">
        <v>1595</v>
      </c>
      <c r="I316" s="90" t="s">
        <v>64</v>
      </c>
      <c r="J316" s="87" t="s">
        <v>70</v>
      </c>
      <c r="K316" s="87" t="s">
        <v>71</v>
      </c>
      <c r="L316" s="90" t="s">
        <v>1596</v>
      </c>
      <c r="M316" s="91">
        <v>3202206332</v>
      </c>
      <c r="N316" s="90" t="s">
        <v>1597</v>
      </c>
      <c r="O316" s="90" t="str">
        <f t="shared" si="32"/>
        <v>Usme</v>
      </c>
      <c r="P316" s="87" t="s">
        <v>670</v>
      </c>
      <c r="Q316" s="87"/>
      <c r="R316" s="87"/>
      <c r="S316" s="87"/>
      <c r="T316" s="87"/>
      <c r="U316" s="87"/>
      <c r="V316" s="90" t="str">
        <f t="shared" si="33"/>
        <v>Suroriente, Ruralidad</v>
      </c>
      <c r="W316" s="87" t="s">
        <v>108</v>
      </c>
      <c r="X316" s="87" t="s">
        <v>109</v>
      </c>
      <c r="Y316" s="87"/>
      <c r="Z316" s="87"/>
      <c r="AA316" s="87"/>
      <c r="AB316" s="87"/>
      <c r="AC316" s="90" t="str">
        <f t="shared" si="34"/>
        <v>Rafael Uribe, Usme Entrenubes, Cuenca del Tunjuelo, Cerros Orientales</v>
      </c>
      <c r="AD316" s="87" t="s">
        <v>467</v>
      </c>
      <c r="AE316" s="87" t="s">
        <v>671</v>
      </c>
      <c r="AF316" s="87" t="s">
        <v>112</v>
      </c>
      <c r="AG316" s="87" t="s">
        <v>222</v>
      </c>
      <c r="AH316" s="87"/>
      <c r="AI316" s="87"/>
      <c r="AJ316" s="87"/>
      <c r="AK316" s="87"/>
      <c r="AL316" s="87"/>
      <c r="AM316" s="87"/>
      <c r="AN316" s="90" t="s">
        <v>1598</v>
      </c>
      <c r="AO316" s="92" t="s">
        <v>1599</v>
      </c>
      <c r="AP316" s="82"/>
      <c r="AQ316" s="87" t="s">
        <v>60</v>
      </c>
      <c r="AR316" s="87" t="s">
        <v>77</v>
      </c>
      <c r="AS316" s="82"/>
      <c r="AT316" s="87">
        <v>2</v>
      </c>
      <c r="AU316" s="87">
        <v>4</v>
      </c>
      <c r="AV316" s="87">
        <f t="shared" si="35"/>
        <v>6</v>
      </c>
      <c r="AW316" s="87" t="str">
        <f t="shared" si="36"/>
        <v>No Aplica</v>
      </c>
      <c r="AX316" s="87" t="s">
        <v>78</v>
      </c>
      <c r="AY316" s="87"/>
      <c r="AZ316" s="87"/>
      <c r="BA316" s="91" t="s">
        <v>1600</v>
      </c>
      <c r="BB316" s="84"/>
      <c r="BC316" s="85"/>
      <c r="BD316" s="85"/>
    </row>
    <row r="317" spans="1:56" s="86" customFormat="1" ht="46.5" customHeight="1">
      <c r="A317" s="87">
        <v>312</v>
      </c>
      <c r="B317" s="79" t="s">
        <v>1601</v>
      </c>
      <c r="C317" s="88">
        <v>45399</v>
      </c>
      <c r="D317" s="89">
        <v>0.70833333333333337</v>
      </c>
      <c r="E317" s="87" t="s">
        <v>58</v>
      </c>
      <c r="F317" s="87" t="s">
        <v>135</v>
      </c>
      <c r="G317" s="87" t="s">
        <v>95</v>
      </c>
      <c r="H317" s="90" t="s">
        <v>1602</v>
      </c>
      <c r="I317" s="90" t="s">
        <v>64</v>
      </c>
      <c r="J317" s="87" t="s">
        <v>70</v>
      </c>
      <c r="K317" s="87" t="s">
        <v>71</v>
      </c>
      <c r="L317" s="90" t="s">
        <v>1603</v>
      </c>
      <c r="M317" s="91" t="s">
        <v>1603</v>
      </c>
      <c r="N317" s="90" t="s">
        <v>1603</v>
      </c>
      <c r="O317" s="90" t="str">
        <f t="shared" si="32"/>
        <v>Barrios Unidos</v>
      </c>
      <c r="P317" s="87" t="s">
        <v>686</v>
      </c>
      <c r="Q317" s="87"/>
      <c r="R317" s="87"/>
      <c r="S317" s="87"/>
      <c r="T317" s="87"/>
      <c r="U317" s="87"/>
      <c r="V317" s="90" t="str">
        <f t="shared" si="33"/>
        <v>Centro Ampliado</v>
      </c>
      <c r="W317" s="87" t="s">
        <v>415</v>
      </c>
      <c r="X317" s="87"/>
      <c r="Y317" s="87"/>
      <c r="Z317" s="87"/>
      <c r="AA317" s="87"/>
      <c r="AB317" s="87"/>
      <c r="AC317" s="90" t="str">
        <f t="shared" si="34"/>
        <v>Barrios Unidos</v>
      </c>
      <c r="AD317" s="87" t="s">
        <v>686</v>
      </c>
      <c r="AE317" s="87"/>
      <c r="AF317" s="87"/>
      <c r="AG317" s="87"/>
      <c r="AH317" s="87"/>
      <c r="AI317" s="87"/>
      <c r="AJ317" s="87"/>
      <c r="AK317" s="87"/>
      <c r="AL317" s="87"/>
      <c r="AM317" s="87"/>
      <c r="AN317" s="90" t="s">
        <v>1604</v>
      </c>
      <c r="AO317" s="92" t="s">
        <v>1605</v>
      </c>
      <c r="AP317" s="82"/>
      <c r="AQ317" s="87" t="s">
        <v>60</v>
      </c>
      <c r="AR317" s="87" t="s">
        <v>77</v>
      </c>
      <c r="AS317" s="82"/>
      <c r="AT317" s="87">
        <v>4</v>
      </c>
      <c r="AU317" s="87">
        <v>5</v>
      </c>
      <c r="AV317" s="87">
        <f t="shared" si="35"/>
        <v>9</v>
      </c>
      <c r="AW317" s="87" t="str">
        <f t="shared" si="36"/>
        <v>No Aplica</v>
      </c>
      <c r="AX317" s="87" t="s">
        <v>78</v>
      </c>
      <c r="AY317" s="87"/>
      <c r="AZ317" s="87"/>
      <c r="BA317" s="91" t="s">
        <v>1606</v>
      </c>
      <c r="BB317" s="84"/>
      <c r="BC317" s="85"/>
      <c r="BD317" s="85"/>
    </row>
    <row r="318" spans="1:56" s="86" customFormat="1" ht="46.5" customHeight="1">
      <c r="A318" s="78">
        <v>313</v>
      </c>
      <c r="B318" s="79" t="s">
        <v>1607</v>
      </c>
      <c r="C318" s="88">
        <v>45399</v>
      </c>
      <c r="D318" s="89">
        <v>0.70833333333333337</v>
      </c>
      <c r="E318" s="87" t="s">
        <v>58</v>
      </c>
      <c r="F318" s="87" t="s">
        <v>135</v>
      </c>
      <c r="G318" s="87" t="s">
        <v>95</v>
      </c>
      <c r="H318" s="90" t="s">
        <v>1512</v>
      </c>
      <c r="I318" s="90" t="s">
        <v>64</v>
      </c>
      <c r="J318" s="87" t="s">
        <v>70</v>
      </c>
      <c r="K318" s="87" t="s">
        <v>71</v>
      </c>
      <c r="L318" s="90" t="s">
        <v>1603</v>
      </c>
      <c r="M318" s="91" t="s">
        <v>1603</v>
      </c>
      <c r="N318" s="90" t="s">
        <v>1603</v>
      </c>
      <c r="O318" s="90" t="str">
        <f t="shared" si="32"/>
        <v>Puente Aranda</v>
      </c>
      <c r="P318" s="87" t="s">
        <v>823</v>
      </c>
      <c r="Q318" s="87"/>
      <c r="R318" s="87"/>
      <c r="S318" s="87"/>
      <c r="T318" s="87"/>
      <c r="U318" s="87"/>
      <c r="V318" s="90" t="str">
        <f t="shared" si="33"/>
        <v>Centro Ampliado</v>
      </c>
      <c r="W318" s="87" t="s">
        <v>415</v>
      </c>
      <c r="X318" s="87"/>
      <c r="Y318" s="87"/>
      <c r="Z318" s="87"/>
      <c r="AA318" s="87"/>
      <c r="AB318" s="87"/>
      <c r="AC318" s="90" t="str">
        <f t="shared" si="34"/>
        <v>Puente Aranda</v>
      </c>
      <c r="AD318" s="87" t="s">
        <v>823</v>
      </c>
      <c r="AE318" s="87"/>
      <c r="AF318" s="87"/>
      <c r="AG318" s="87"/>
      <c r="AH318" s="87"/>
      <c r="AI318" s="87"/>
      <c r="AJ318" s="87"/>
      <c r="AK318" s="87"/>
      <c r="AL318" s="87"/>
      <c r="AM318" s="87"/>
      <c r="AN318" s="90" t="s">
        <v>823</v>
      </c>
      <c r="AO318" s="92" t="s">
        <v>1608</v>
      </c>
      <c r="AP318" s="82"/>
      <c r="AQ318" s="87" t="s">
        <v>60</v>
      </c>
      <c r="AR318" s="87" t="s">
        <v>77</v>
      </c>
      <c r="AS318" s="82"/>
      <c r="AT318" s="87">
        <v>2</v>
      </c>
      <c r="AU318" s="87">
        <v>1</v>
      </c>
      <c r="AV318" s="87">
        <f t="shared" si="35"/>
        <v>3</v>
      </c>
      <c r="AW318" s="87" t="str">
        <f t="shared" si="36"/>
        <v>No Aplica</v>
      </c>
      <c r="AX318" s="87" t="s">
        <v>78</v>
      </c>
      <c r="AY318" s="87"/>
      <c r="AZ318" s="87"/>
      <c r="BA318" s="91" t="s">
        <v>1609</v>
      </c>
      <c r="BB318" s="84"/>
      <c r="BC318" s="85"/>
      <c r="BD318" s="85"/>
    </row>
    <row r="319" spans="1:56" s="86" customFormat="1" ht="46.5" customHeight="1">
      <c r="A319" s="87">
        <v>314</v>
      </c>
      <c r="B319" s="79" t="s">
        <v>1610</v>
      </c>
      <c r="C319" s="88">
        <v>45399</v>
      </c>
      <c r="D319" s="89">
        <v>0.75</v>
      </c>
      <c r="E319" s="87" t="s">
        <v>58</v>
      </c>
      <c r="F319" s="87" t="s">
        <v>135</v>
      </c>
      <c r="G319" s="87" t="s">
        <v>95</v>
      </c>
      <c r="H319" s="90" t="s">
        <v>1611</v>
      </c>
      <c r="I319" s="90" t="s">
        <v>64</v>
      </c>
      <c r="J319" s="87" t="s">
        <v>70</v>
      </c>
      <c r="K319" s="87" t="s">
        <v>71</v>
      </c>
      <c r="L319" s="90" t="s">
        <v>1603</v>
      </c>
      <c r="M319" s="91" t="s">
        <v>1603</v>
      </c>
      <c r="N319" s="90" t="s">
        <v>1603</v>
      </c>
      <c r="O319" s="90" t="str">
        <f t="shared" si="32"/>
        <v>Chapinero</v>
      </c>
      <c r="P319" s="87" t="s">
        <v>221</v>
      </c>
      <c r="Q319" s="87"/>
      <c r="R319" s="87"/>
      <c r="S319" s="87"/>
      <c r="T319" s="87"/>
      <c r="U319" s="87"/>
      <c r="V319" s="90" t="str">
        <f t="shared" si="33"/>
        <v>Centro Ampliado</v>
      </c>
      <c r="W319" s="87" t="s">
        <v>415</v>
      </c>
      <c r="X319" s="87"/>
      <c r="Y319" s="87"/>
      <c r="Z319" s="87"/>
      <c r="AA319" s="87"/>
      <c r="AB319" s="87"/>
      <c r="AC319" s="90" t="str">
        <f t="shared" si="34"/>
        <v>Chapinero, Centro Histórico</v>
      </c>
      <c r="AD319" s="87" t="s">
        <v>221</v>
      </c>
      <c r="AE319" s="87" t="s">
        <v>488</v>
      </c>
      <c r="AF319" s="87"/>
      <c r="AG319" s="87"/>
      <c r="AH319" s="87"/>
      <c r="AI319" s="87"/>
      <c r="AJ319" s="87"/>
      <c r="AK319" s="87"/>
      <c r="AL319" s="87"/>
      <c r="AM319" s="87"/>
      <c r="AN319" s="90" t="s">
        <v>221</v>
      </c>
      <c r="AO319" s="92" t="s">
        <v>1612</v>
      </c>
      <c r="AP319" s="82"/>
      <c r="AQ319" s="87" t="s">
        <v>60</v>
      </c>
      <c r="AR319" s="87" t="s">
        <v>77</v>
      </c>
      <c r="AS319" s="82"/>
      <c r="AT319" s="87">
        <v>3</v>
      </c>
      <c r="AU319" s="87">
        <v>4</v>
      </c>
      <c r="AV319" s="87">
        <f t="shared" si="35"/>
        <v>7</v>
      </c>
      <c r="AW319" s="87" t="str">
        <f t="shared" si="36"/>
        <v>No Aplica</v>
      </c>
      <c r="AX319" s="87" t="s">
        <v>78</v>
      </c>
      <c r="AY319" s="87"/>
      <c r="AZ319" s="87"/>
      <c r="BA319" s="91" t="s">
        <v>1613</v>
      </c>
      <c r="BB319" s="84"/>
      <c r="BC319" s="85"/>
      <c r="BD319" s="85"/>
    </row>
    <row r="320" spans="1:56" s="86" customFormat="1" ht="46.5" customHeight="1">
      <c r="A320" s="78">
        <v>315</v>
      </c>
      <c r="B320" s="79" t="s">
        <v>1614</v>
      </c>
      <c r="C320" s="88">
        <v>45400</v>
      </c>
      <c r="D320" s="89">
        <v>0.45833333333333331</v>
      </c>
      <c r="E320" s="87" t="s">
        <v>58</v>
      </c>
      <c r="F320" s="87" t="s">
        <v>61</v>
      </c>
      <c r="G320" s="87" t="s">
        <v>95</v>
      </c>
      <c r="H320" s="90" t="s">
        <v>1615</v>
      </c>
      <c r="I320" s="90" t="s">
        <v>64</v>
      </c>
      <c r="J320" s="87" t="s">
        <v>70</v>
      </c>
      <c r="K320" s="87" t="s">
        <v>71</v>
      </c>
      <c r="L320" s="90" t="s">
        <v>1603</v>
      </c>
      <c r="M320" s="91" t="s">
        <v>1603</v>
      </c>
      <c r="N320" s="90" t="s">
        <v>1603</v>
      </c>
      <c r="O320" s="90" t="str">
        <f t="shared" si="32"/>
        <v>Distrital</v>
      </c>
      <c r="P320" s="87" t="s">
        <v>73</v>
      </c>
      <c r="Q320" s="87"/>
      <c r="R320" s="87"/>
      <c r="S320" s="87"/>
      <c r="T320" s="87"/>
      <c r="U320" s="87"/>
      <c r="V320" s="90" t="str">
        <f t="shared" si="33"/>
        <v>Distrital</v>
      </c>
      <c r="W320" s="87" t="s">
        <v>73</v>
      </c>
      <c r="X320" s="87"/>
      <c r="Y320" s="87"/>
      <c r="Z320" s="87"/>
      <c r="AA320" s="87"/>
      <c r="AB320" s="87"/>
      <c r="AC320" s="90" t="str">
        <f t="shared" si="34"/>
        <v>Distrital</v>
      </c>
      <c r="AD320" s="87" t="s">
        <v>73</v>
      </c>
      <c r="AE320" s="87"/>
      <c r="AF320" s="87"/>
      <c r="AG320" s="87"/>
      <c r="AH320" s="87"/>
      <c r="AI320" s="87"/>
      <c r="AJ320" s="87"/>
      <c r="AK320" s="87"/>
      <c r="AL320" s="87"/>
      <c r="AM320" s="87"/>
      <c r="AN320" s="90" t="s">
        <v>160</v>
      </c>
      <c r="AO320" s="92" t="s">
        <v>1616</v>
      </c>
      <c r="AP320" s="82"/>
      <c r="AQ320" s="87" t="s">
        <v>60</v>
      </c>
      <c r="AR320" s="87" t="s">
        <v>77</v>
      </c>
      <c r="AS320" s="82"/>
      <c r="AT320" s="87">
        <v>0</v>
      </c>
      <c r="AU320" s="87">
        <v>30</v>
      </c>
      <c r="AV320" s="87">
        <f t="shared" si="35"/>
        <v>30</v>
      </c>
      <c r="AW320" s="87" t="str">
        <f t="shared" si="36"/>
        <v>Ninguna</v>
      </c>
      <c r="AX320" s="87" t="s">
        <v>75</v>
      </c>
      <c r="AY320" s="87"/>
      <c r="AZ320" s="87"/>
      <c r="BA320" s="91" t="s">
        <v>1617</v>
      </c>
      <c r="BB320" s="84"/>
      <c r="BC320" s="85"/>
      <c r="BD320" s="85"/>
    </row>
    <row r="321" spans="1:56" s="86" customFormat="1" ht="46.5" customHeight="1">
      <c r="A321" s="87">
        <v>316</v>
      </c>
      <c r="B321" s="79" t="s">
        <v>1618</v>
      </c>
      <c r="C321" s="88">
        <v>45400</v>
      </c>
      <c r="D321" s="89">
        <v>0.33333333333333331</v>
      </c>
      <c r="E321" s="87" t="s">
        <v>58</v>
      </c>
      <c r="F321" s="87" t="s">
        <v>61</v>
      </c>
      <c r="G321" s="87" t="s">
        <v>62</v>
      </c>
      <c r="H321" s="90" t="s">
        <v>1619</v>
      </c>
      <c r="I321" s="90" t="s">
        <v>64</v>
      </c>
      <c r="J321" s="87" t="s">
        <v>119</v>
      </c>
      <c r="K321" s="87" t="s">
        <v>610</v>
      </c>
      <c r="L321" s="90" t="s">
        <v>1620</v>
      </c>
      <c r="M321" s="91">
        <v>3115204598</v>
      </c>
      <c r="N321" s="90" t="s">
        <v>1432</v>
      </c>
      <c r="O321" s="90" t="str">
        <f t="shared" si="32"/>
        <v>Distrital</v>
      </c>
      <c r="P321" s="87" t="s">
        <v>73</v>
      </c>
      <c r="Q321" s="87"/>
      <c r="R321" s="87"/>
      <c r="S321" s="87"/>
      <c r="T321" s="87"/>
      <c r="U321" s="87"/>
      <c r="V321" s="90" t="str">
        <f t="shared" si="33"/>
        <v>Noroccidente</v>
      </c>
      <c r="W321" s="87" t="s">
        <v>395</v>
      </c>
      <c r="X321" s="87"/>
      <c r="Y321" s="87"/>
      <c r="Z321" s="87"/>
      <c r="AA321" s="87"/>
      <c r="AB321" s="87"/>
      <c r="AC321" s="90" t="str">
        <f t="shared" si="34"/>
        <v>Suba</v>
      </c>
      <c r="AD321" s="87" t="s">
        <v>394</v>
      </c>
      <c r="AE321" s="87"/>
      <c r="AF321" s="87"/>
      <c r="AG321" s="87"/>
      <c r="AH321" s="87"/>
      <c r="AI321" s="87"/>
      <c r="AJ321" s="87"/>
      <c r="AK321" s="87"/>
      <c r="AL321" s="87"/>
      <c r="AM321" s="87"/>
      <c r="AN321" s="90" t="s">
        <v>1621</v>
      </c>
      <c r="AO321" s="90" t="s">
        <v>1622</v>
      </c>
      <c r="AP321" s="82"/>
      <c r="AQ321" s="87" t="s">
        <v>60</v>
      </c>
      <c r="AR321" s="87" t="s">
        <v>77</v>
      </c>
      <c r="AS321" s="82"/>
      <c r="AT321" s="87">
        <v>248</v>
      </c>
      <c r="AU321" s="87">
        <v>4</v>
      </c>
      <c r="AV321" s="87">
        <f t="shared" si="35"/>
        <v>252</v>
      </c>
      <c r="AW321" s="87" t="str">
        <f t="shared" si="36"/>
        <v>No Aplica</v>
      </c>
      <c r="AX321" s="87" t="s">
        <v>78</v>
      </c>
      <c r="AY321" s="87"/>
      <c r="AZ321" s="87"/>
      <c r="BA321" s="91" t="s">
        <v>1623</v>
      </c>
      <c r="BB321" s="84"/>
      <c r="BC321" s="85"/>
      <c r="BD321" s="85"/>
    </row>
    <row r="322" spans="1:56" s="86" customFormat="1" ht="46.5" customHeight="1">
      <c r="A322" s="78">
        <v>317</v>
      </c>
      <c r="B322" s="79" t="s">
        <v>1624</v>
      </c>
      <c r="C322" s="88">
        <v>45400</v>
      </c>
      <c r="D322" s="89">
        <v>0.70833333333333337</v>
      </c>
      <c r="E322" s="87" t="s">
        <v>58</v>
      </c>
      <c r="F322" s="87" t="s">
        <v>61</v>
      </c>
      <c r="G322" s="87" t="s">
        <v>62</v>
      </c>
      <c r="H322" s="90" t="s">
        <v>1625</v>
      </c>
      <c r="I322" s="90" t="s">
        <v>172</v>
      </c>
      <c r="J322" s="87" t="s">
        <v>173</v>
      </c>
      <c r="K322" s="87"/>
      <c r="L322" s="90" t="s">
        <v>195</v>
      </c>
      <c r="M322" s="91" t="s">
        <v>196</v>
      </c>
      <c r="N322" s="90" t="s">
        <v>197</v>
      </c>
      <c r="O322" s="90" t="str">
        <f t="shared" si="32"/>
        <v>Ciudad Bolívar</v>
      </c>
      <c r="P322" s="87" t="s">
        <v>107</v>
      </c>
      <c r="Q322" s="87"/>
      <c r="R322" s="87"/>
      <c r="S322" s="87"/>
      <c r="T322" s="87"/>
      <c r="U322" s="87"/>
      <c r="V322" s="90" t="str">
        <f t="shared" si="33"/>
        <v>Suroriente, Ruralidad</v>
      </c>
      <c r="W322" s="87" t="s">
        <v>108</v>
      </c>
      <c r="X322" s="87" t="s">
        <v>109</v>
      </c>
      <c r="Y322" s="87"/>
      <c r="Z322" s="87"/>
      <c r="AA322" s="87"/>
      <c r="AB322" s="87"/>
      <c r="AC322" s="90" t="str">
        <f t="shared" si="34"/>
        <v>Arborizadora, Lucero, Cuenca del Tunjuelo</v>
      </c>
      <c r="AD322" s="87" t="s">
        <v>110</v>
      </c>
      <c r="AE322" s="87" t="s">
        <v>111</v>
      </c>
      <c r="AF322" s="87" t="s">
        <v>112</v>
      </c>
      <c r="AG322" s="87"/>
      <c r="AH322" s="87"/>
      <c r="AI322" s="87"/>
      <c r="AJ322" s="87"/>
      <c r="AK322" s="87"/>
      <c r="AL322" s="87"/>
      <c r="AM322" s="87"/>
      <c r="AN322" s="90" t="s">
        <v>160</v>
      </c>
      <c r="AO322" s="90" t="s">
        <v>1626</v>
      </c>
      <c r="AP322" s="82"/>
      <c r="AQ322" s="87" t="s">
        <v>60</v>
      </c>
      <c r="AR322" s="87" t="s">
        <v>398</v>
      </c>
      <c r="AS322" s="82"/>
      <c r="AT322" s="87">
        <v>57</v>
      </c>
      <c r="AU322" s="87">
        <v>5</v>
      </c>
      <c r="AV322" s="87">
        <f t="shared" si="35"/>
        <v>62</v>
      </c>
      <c r="AW322" s="87" t="str">
        <f t="shared" si="36"/>
        <v>Ninguna</v>
      </c>
      <c r="AX322" s="87" t="s">
        <v>75</v>
      </c>
      <c r="AY322" s="87"/>
      <c r="AZ322" s="87"/>
      <c r="BA322" s="91" t="s">
        <v>1627</v>
      </c>
      <c r="BB322" s="84"/>
      <c r="BC322" s="85"/>
      <c r="BD322" s="85"/>
    </row>
    <row r="323" spans="1:56" s="86" customFormat="1" ht="46.5" customHeight="1">
      <c r="A323" s="87">
        <v>318</v>
      </c>
      <c r="B323" s="79" t="s">
        <v>1628</v>
      </c>
      <c r="C323" s="88">
        <v>45400</v>
      </c>
      <c r="D323" s="89">
        <v>0.70833333333333337</v>
      </c>
      <c r="E323" s="87" t="s">
        <v>58</v>
      </c>
      <c r="F323" s="87" t="s">
        <v>61</v>
      </c>
      <c r="G323" s="87" t="s">
        <v>62</v>
      </c>
      <c r="H323" s="90" t="s">
        <v>1625</v>
      </c>
      <c r="I323" s="90" t="s">
        <v>172</v>
      </c>
      <c r="J323" s="87" t="s">
        <v>173</v>
      </c>
      <c r="K323" s="87"/>
      <c r="L323" s="90" t="s">
        <v>1576</v>
      </c>
      <c r="M323" s="91">
        <v>3102511032</v>
      </c>
      <c r="N323" s="90" t="s">
        <v>1629</v>
      </c>
      <c r="O323" s="90" t="str">
        <f t="shared" si="32"/>
        <v>Usaquén</v>
      </c>
      <c r="P323" s="87" t="s">
        <v>428</v>
      </c>
      <c r="Q323" s="87"/>
      <c r="R323" s="87"/>
      <c r="S323" s="87"/>
      <c r="T323" s="87"/>
      <c r="U323" s="87"/>
      <c r="V323" s="90" t="str">
        <f t="shared" si="33"/>
        <v>Norte</v>
      </c>
      <c r="W323" s="87" t="s">
        <v>429</v>
      </c>
      <c r="X323" s="87"/>
      <c r="Y323" s="87"/>
      <c r="Z323" s="87"/>
      <c r="AA323" s="87"/>
      <c r="AB323" s="87"/>
      <c r="AC323" s="90" t="str">
        <f t="shared" si="34"/>
        <v>Usaquén</v>
      </c>
      <c r="AD323" s="87" t="s">
        <v>428</v>
      </c>
      <c r="AE323" s="87"/>
      <c r="AF323" s="87"/>
      <c r="AG323" s="87"/>
      <c r="AH323" s="87"/>
      <c r="AI323" s="87"/>
      <c r="AJ323" s="87"/>
      <c r="AK323" s="87"/>
      <c r="AL323" s="87"/>
      <c r="AM323" s="87"/>
      <c r="AN323" s="90" t="s">
        <v>160</v>
      </c>
      <c r="AO323" s="90" t="s">
        <v>1630</v>
      </c>
      <c r="AP323" s="82"/>
      <c r="AQ323" s="87" t="s">
        <v>60</v>
      </c>
      <c r="AR323" s="87" t="s">
        <v>398</v>
      </c>
      <c r="AS323" s="82"/>
      <c r="AT323" s="87">
        <v>36</v>
      </c>
      <c r="AU323" s="87">
        <v>5</v>
      </c>
      <c r="AV323" s="87">
        <f t="shared" si="35"/>
        <v>41</v>
      </c>
      <c r="AW323" s="87" t="str">
        <f t="shared" si="36"/>
        <v>Ninguna</v>
      </c>
      <c r="AX323" s="87" t="s">
        <v>75</v>
      </c>
      <c r="AY323" s="87"/>
      <c r="AZ323" s="87"/>
      <c r="BA323" s="91" t="s">
        <v>1627</v>
      </c>
      <c r="BB323" s="84"/>
      <c r="BC323" s="85"/>
      <c r="BD323" s="85"/>
    </row>
    <row r="324" spans="1:56" s="86" customFormat="1" ht="46.5" customHeight="1">
      <c r="A324" s="78">
        <v>319</v>
      </c>
      <c r="B324" s="79" t="s">
        <v>1631</v>
      </c>
      <c r="C324" s="88">
        <v>45400</v>
      </c>
      <c r="D324" s="89">
        <v>0.70833333333333337</v>
      </c>
      <c r="E324" s="87" t="s">
        <v>58</v>
      </c>
      <c r="F324" s="87" t="s">
        <v>61</v>
      </c>
      <c r="G324" s="87" t="s">
        <v>62</v>
      </c>
      <c r="H324" s="90" t="s">
        <v>1625</v>
      </c>
      <c r="I324" s="90" t="s">
        <v>172</v>
      </c>
      <c r="J324" s="87" t="s">
        <v>173</v>
      </c>
      <c r="K324" s="87"/>
      <c r="L324" s="90" t="s">
        <v>1632</v>
      </c>
      <c r="M324" s="91">
        <v>3133634769</v>
      </c>
      <c r="N324" s="90" t="s">
        <v>1633</v>
      </c>
      <c r="O324" s="90" t="str">
        <f t="shared" si="32"/>
        <v>Chapinero</v>
      </c>
      <c r="P324" s="87" t="s">
        <v>221</v>
      </c>
      <c r="Q324" s="87"/>
      <c r="R324" s="87"/>
      <c r="S324" s="87"/>
      <c r="T324" s="87"/>
      <c r="U324" s="87"/>
      <c r="V324" s="90" t="str">
        <f t="shared" si="33"/>
        <v>Centro Ampliado</v>
      </c>
      <c r="W324" s="87" t="s">
        <v>415</v>
      </c>
      <c r="X324" s="87"/>
      <c r="Y324" s="87"/>
      <c r="Z324" s="87"/>
      <c r="AA324" s="87"/>
      <c r="AB324" s="87"/>
      <c r="AC324" s="90" t="str">
        <f t="shared" si="34"/>
        <v>Chapinero, Cerros Orientales</v>
      </c>
      <c r="AD324" s="87" t="s">
        <v>221</v>
      </c>
      <c r="AE324" s="87" t="s">
        <v>222</v>
      </c>
      <c r="AF324" s="87"/>
      <c r="AG324" s="87"/>
      <c r="AH324" s="87"/>
      <c r="AI324" s="87"/>
      <c r="AJ324" s="87"/>
      <c r="AK324" s="87"/>
      <c r="AL324" s="87"/>
      <c r="AM324" s="87"/>
      <c r="AN324" s="90" t="s">
        <v>1634</v>
      </c>
      <c r="AO324" s="90" t="s">
        <v>1635</v>
      </c>
      <c r="AP324" s="82"/>
      <c r="AQ324" s="87" t="s">
        <v>60</v>
      </c>
      <c r="AR324" s="87" t="s">
        <v>398</v>
      </c>
      <c r="AS324" s="82"/>
      <c r="AT324" s="87">
        <v>37</v>
      </c>
      <c r="AU324" s="87">
        <v>4</v>
      </c>
      <c r="AV324" s="87">
        <f t="shared" si="35"/>
        <v>41</v>
      </c>
      <c r="AW324" s="87" t="str">
        <f t="shared" si="36"/>
        <v>Accesibilidad Universal, Horarios Acordes, Contenidos adaptados</v>
      </c>
      <c r="AX324" s="87" t="s">
        <v>246</v>
      </c>
      <c r="AY324" s="87" t="s">
        <v>213</v>
      </c>
      <c r="AZ324" s="87" t="s">
        <v>212</v>
      </c>
      <c r="BA324" s="91" t="s">
        <v>1627</v>
      </c>
      <c r="BB324" s="84"/>
      <c r="BC324" s="85"/>
      <c r="BD324" s="85"/>
    </row>
    <row r="325" spans="1:56" s="86" customFormat="1" ht="46.5" customHeight="1">
      <c r="A325" s="87">
        <v>320</v>
      </c>
      <c r="B325" s="79" t="s">
        <v>1636</v>
      </c>
      <c r="C325" s="88">
        <v>45400</v>
      </c>
      <c r="D325" s="89">
        <v>0.70833333333333337</v>
      </c>
      <c r="E325" s="87" t="s">
        <v>58</v>
      </c>
      <c r="F325" s="87" t="s">
        <v>61</v>
      </c>
      <c r="G325" s="87" t="s">
        <v>62</v>
      </c>
      <c r="H325" s="90" t="s">
        <v>1625</v>
      </c>
      <c r="I325" s="90" t="s">
        <v>172</v>
      </c>
      <c r="J325" s="87" t="s">
        <v>173</v>
      </c>
      <c r="K325" s="87"/>
      <c r="L325" s="90" t="s">
        <v>1637</v>
      </c>
      <c r="M325" s="91">
        <v>3102321552</v>
      </c>
      <c r="N325" s="90" t="s">
        <v>1638</v>
      </c>
      <c r="O325" s="90" t="str">
        <f t="shared" si="32"/>
        <v>Usme</v>
      </c>
      <c r="P325" s="87" t="s">
        <v>670</v>
      </c>
      <c r="Q325" s="87"/>
      <c r="R325" s="87"/>
      <c r="S325" s="87"/>
      <c r="T325" s="87"/>
      <c r="U325" s="87"/>
      <c r="V325" s="90" t="str">
        <f t="shared" si="33"/>
        <v>Suroriente, Ruralidad</v>
      </c>
      <c r="W325" s="87" t="s">
        <v>108</v>
      </c>
      <c r="X325" s="87" t="s">
        <v>109</v>
      </c>
      <c r="Y325" s="87"/>
      <c r="Z325" s="87"/>
      <c r="AA325" s="87"/>
      <c r="AB325" s="87"/>
      <c r="AC325" s="90" t="str">
        <f t="shared" si="34"/>
        <v>Usme Entrenubes, Rafael Uribe, Cuenca del Tunjuelo, Cerros Orientales</v>
      </c>
      <c r="AD325" s="87" t="s">
        <v>671</v>
      </c>
      <c r="AE325" s="87" t="s">
        <v>467</v>
      </c>
      <c r="AF325" s="87" t="s">
        <v>112</v>
      </c>
      <c r="AG325" s="87" t="s">
        <v>222</v>
      </c>
      <c r="AH325" s="87"/>
      <c r="AI325" s="87"/>
      <c r="AJ325" s="87"/>
      <c r="AK325" s="87"/>
      <c r="AL325" s="87"/>
      <c r="AM325" s="87"/>
      <c r="AN325" s="90" t="s">
        <v>1639</v>
      </c>
      <c r="AO325" s="90" t="s">
        <v>1640</v>
      </c>
      <c r="AP325" s="82"/>
      <c r="AQ325" s="87" t="s">
        <v>60</v>
      </c>
      <c r="AR325" s="87" t="s">
        <v>398</v>
      </c>
      <c r="AS325" s="82"/>
      <c r="AT325" s="87">
        <v>17</v>
      </c>
      <c r="AU325" s="87">
        <v>4</v>
      </c>
      <c r="AV325" s="87">
        <f t="shared" si="35"/>
        <v>21</v>
      </c>
      <c r="AW325" s="87" t="str">
        <f t="shared" si="36"/>
        <v>Ninguna</v>
      </c>
      <c r="AX325" s="87" t="s">
        <v>75</v>
      </c>
      <c r="AY325" s="87"/>
      <c r="AZ325" s="87"/>
      <c r="BA325" s="91" t="s">
        <v>1627</v>
      </c>
      <c r="BB325" s="84"/>
      <c r="BC325" s="85"/>
      <c r="BD325" s="85"/>
    </row>
    <row r="326" spans="1:56" s="86" customFormat="1" ht="46.5" customHeight="1">
      <c r="A326" s="78">
        <v>321</v>
      </c>
      <c r="B326" s="79" t="s">
        <v>1641</v>
      </c>
      <c r="C326" s="88">
        <v>45400</v>
      </c>
      <c r="D326" s="89">
        <v>0.70833333333333337</v>
      </c>
      <c r="E326" s="87" t="s">
        <v>58</v>
      </c>
      <c r="F326" s="87" t="s">
        <v>61</v>
      </c>
      <c r="G326" s="87" t="s">
        <v>62</v>
      </c>
      <c r="H326" s="90" t="s">
        <v>1625</v>
      </c>
      <c r="I326" s="90" t="s">
        <v>172</v>
      </c>
      <c r="J326" s="87" t="s">
        <v>173</v>
      </c>
      <c r="K326" s="87"/>
      <c r="L326" s="90" t="s">
        <v>1642</v>
      </c>
      <c r="M326" s="91">
        <v>3197783773</v>
      </c>
      <c r="N326" s="90" t="s">
        <v>1643</v>
      </c>
      <c r="O326" s="90" t="str">
        <f t="shared" si="32"/>
        <v>Antonio Nariño</v>
      </c>
      <c r="P326" s="87" t="s">
        <v>413</v>
      </c>
      <c r="Q326" s="87"/>
      <c r="R326" s="87"/>
      <c r="S326" s="87"/>
      <c r="T326" s="87"/>
      <c r="U326" s="87"/>
      <c r="V326" s="90" t="str">
        <f t="shared" si="33"/>
        <v>Centro Ampliado</v>
      </c>
      <c r="W326" s="87" t="s">
        <v>415</v>
      </c>
      <c r="X326" s="87"/>
      <c r="Y326" s="87"/>
      <c r="Z326" s="87"/>
      <c r="AA326" s="87"/>
      <c r="AB326" s="87"/>
      <c r="AC326" s="90" t="str">
        <f t="shared" si="34"/>
        <v>Restrepo</v>
      </c>
      <c r="AD326" s="87" t="s">
        <v>416</v>
      </c>
      <c r="AE326" s="87"/>
      <c r="AF326" s="87"/>
      <c r="AG326" s="87"/>
      <c r="AH326" s="87"/>
      <c r="AI326" s="87"/>
      <c r="AJ326" s="87"/>
      <c r="AK326" s="87"/>
      <c r="AL326" s="87"/>
      <c r="AM326" s="87"/>
      <c r="AN326" s="90" t="s">
        <v>416</v>
      </c>
      <c r="AO326" s="90" t="s">
        <v>1644</v>
      </c>
      <c r="AP326" s="82"/>
      <c r="AQ326" s="87" t="s">
        <v>60</v>
      </c>
      <c r="AR326" s="87" t="s">
        <v>398</v>
      </c>
      <c r="AS326" s="82"/>
      <c r="AT326" s="87">
        <v>79</v>
      </c>
      <c r="AU326" s="87">
        <v>4</v>
      </c>
      <c r="AV326" s="87">
        <f t="shared" si="35"/>
        <v>83</v>
      </c>
      <c r="AW326" s="87" t="str">
        <f t="shared" si="36"/>
        <v>Accesibilidad Universal, Horarios Acordes</v>
      </c>
      <c r="AX326" s="87" t="s">
        <v>246</v>
      </c>
      <c r="AY326" s="87" t="s">
        <v>213</v>
      </c>
      <c r="AZ326" s="87"/>
      <c r="BA326" s="91" t="s">
        <v>1627</v>
      </c>
      <c r="BB326" s="84"/>
      <c r="BC326" s="85"/>
      <c r="BD326" s="85"/>
    </row>
    <row r="327" spans="1:56" s="86" customFormat="1" ht="46.5" customHeight="1">
      <c r="A327" s="87">
        <v>322</v>
      </c>
      <c r="B327" s="79" t="s">
        <v>1646</v>
      </c>
      <c r="C327" s="88">
        <v>45400</v>
      </c>
      <c r="D327" s="89">
        <v>0.70833333333333337</v>
      </c>
      <c r="E327" s="87" t="s">
        <v>58</v>
      </c>
      <c r="F327" s="87" t="s">
        <v>61</v>
      </c>
      <c r="G327" s="87" t="s">
        <v>62</v>
      </c>
      <c r="H327" s="90" t="s">
        <v>1625</v>
      </c>
      <c r="I327" s="90" t="s">
        <v>172</v>
      </c>
      <c r="J327" s="87" t="s">
        <v>173</v>
      </c>
      <c r="K327" s="87"/>
      <c r="L327" s="90" t="s">
        <v>1647</v>
      </c>
      <c r="M327" s="91">
        <v>3045919577</v>
      </c>
      <c r="N327" s="90" t="s">
        <v>1648</v>
      </c>
      <c r="O327" s="90" t="str">
        <f t="shared" ref="O327:O390" si="37">_xlfn.TEXTJOIN(", ",TRUE,$P327:$T327)</f>
        <v>Santa Fe</v>
      </c>
      <c r="P327" s="87" t="s">
        <v>541</v>
      </c>
      <c r="Q327" s="87"/>
      <c r="R327" s="87"/>
      <c r="S327" s="87"/>
      <c r="T327" s="87"/>
      <c r="U327" s="87"/>
      <c r="V327" s="90" t="str">
        <f t="shared" ref="V327:V390" si="38">_xlfn.TEXTJOIN(", ",TRUE,$W327:$AB327)</f>
        <v>Centro Ampliado, Ruralidad</v>
      </c>
      <c r="W327" s="87" t="s">
        <v>415</v>
      </c>
      <c r="X327" s="87" t="s">
        <v>109</v>
      </c>
      <c r="Y327" s="87"/>
      <c r="Z327" s="87"/>
      <c r="AA327" s="87"/>
      <c r="AB327" s="87"/>
      <c r="AC327" s="90" t="str">
        <f t="shared" ref="AC327:AC390" si="39">_xlfn.TEXTJOIN(", ",TRUE,$AD327:$AM327)</f>
        <v>Cerros Orientales, Centro Histórico</v>
      </c>
      <c r="AD327" s="87" t="s">
        <v>222</v>
      </c>
      <c r="AE327" s="87" t="s">
        <v>488</v>
      </c>
      <c r="AF327" s="87"/>
      <c r="AG327" s="87"/>
      <c r="AH327" s="87"/>
      <c r="AI327" s="87"/>
      <c r="AJ327" s="87"/>
      <c r="AK327" s="87"/>
      <c r="AL327" s="87"/>
      <c r="AM327" s="87"/>
      <c r="AN327" s="90" t="s">
        <v>1649</v>
      </c>
      <c r="AO327" s="90" t="s">
        <v>1650</v>
      </c>
      <c r="AP327" s="82"/>
      <c r="AQ327" s="87" t="s">
        <v>60</v>
      </c>
      <c r="AR327" s="87" t="s">
        <v>398</v>
      </c>
      <c r="AS327" s="82"/>
      <c r="AT327" s="87">
        <v>31</v>
      </c>
      <c r="AU327" s="87">
        <v>4</v>
      </c>
      <c r="AV327" s="87">
        <f t="shared" si="35"/>
        <v>35</v>
      </c>
      <c r="AW327" s="87" t="str">
        <f t="shared" si="36"/>
        <v>Ninguna</v>
      </c>
      <c r="AX327" s="87" t="s">
        <v>75</v>
      </c>
      <c r="AY327" s="87"/>
      <c r="AZ327" s="87"/>
      <c r="BA327" s="91" t="s">
        <v>1627</v>
      </c>
      <c r="BB327" s="84"/>
      <c r="BC327" s="85"/>
      <c r="BD327" s="85"/>
    </row>
    <row r="328" spans="1:56" s="86" customFormat="1" ht="46.5" customHeight="1">
      <c r="A328" s="78">
        <v>323</v>
      </c>
      <c r="B328" s="79" t="s">
        <v>1651</v>
      </c>
      <c r="C328" s="88">
        <v>45400</v>
      </c>
      <c r="D328" s="89">
        <v>0.70833333333333337</v>
      </c>
      <c r="E328" s="87" t="s">
        <v>58</v>
      </c>
      <c r="F328" s="87" t="s">
        <v>61</v>
      </c>
      <c r="G328" s="87" t="s">
        <v>62</v>
      </c>
      <c r="H328" s="90" t="s">
        <v>1625</v>
      </c>
      <c r="I328" s="90" t="s">
        <v>172</v>
      </c>
      <c r="J328" s="87" t="s">
        <v>173</v>
      </c>
      <c r="K328" s="87"/>
      <c r="L328" s="90" t="s">
        <v>1447</v>
      </c>
      <c r="M328" s="91">
        <f>3102558764</f>
        <v>3102558764</v>
      </c>
      <c r="N328" s="90" t="s">
        <v>1317</v>
      </c>
      <c r="O328" s="90" t="str">
        <f t="shared" si="37"/>
        <v>Rafael Uribe Uribe</v>
      </c>
      <c r="P328" s="87" t="s">
        <v>414</v>
      </c>
      <c r="Q328" s="87"/>
      <c r="R328" s="87"/>
      <c r="S328" s="87"/>
      <c r="T328" s="87"/>
      <c r="U328" s="87"/>
      <c r="V328" s="90" t="str">
        <f t="shared" si="38"/>
        <v>Centro Ampliado, Suroriente</v>
      </c>
      <c r="W328" s="87" t="s">
        <v>415</v>
      </c>
      <c r="X328" s="87" t="s">
        <v>108</v>
      </c>
      <c r="Y328" s="87"/>
      <c r="Z328" s="87"/>
      <c r="AA328" s="87"/>
      <c r="AB328" s="87"/>
      <c r="AC328" s="90" t="str">
        <f t="shared" si="39"/>
        <v>Rafael Uribe, San Cristobal, Restrepo</v>
      </c>
      <c r="AD328" s="87" t="s">
        <v>467</v>
      </c>
      <c r="AE328" s="87" t="s">
        <v>371</v>
      </c>
      <c r="AF328" s="87" t="s">
        <v>416</v>
      </c>
      <c r="AG328" s="87"/>
      <c r="AH328" s="87"/>
      <c r="AI328" s="87"/>
      <c r="AJ328" s="87"/>
      <c r="AK328" s="87"/>
      <c r="AL328" s="87"/>
      <c r="AM328" s="87"/>
      <c r="AN328" s="90" t="s">
        <v>1364</v>
      </c>
      <c r="AO328" s="90" t="s">
        <v>1652</v>
      </c>
      <c r="AP328" s="82"/>
      <c r="AQ328" s="87" t="s">
        <v>60</v>
      </c>
      <c r="AR328" s="87" t="s">
        <v>398</v>
      </c>
      <c r="AS328" s="82"/>
      <c r="AT328" s="87">
        <v>47</v>
      </c>
      <c r="AU328" s="87">
        <v>6</v>
      </c>
      <c r="AV328" s="87">
        <f t="shared" si="35"/>
        <v>53</v>
      </c>
      <c r="AW328" s="87" t="str">
        <f t="shared" si="36"/>
        <v>Horarios Acordes</v>
      </c>
      <c r="AX328" s="87" t="s">
        <v>213</v>
      </c>
      <c r="AY328" s="87"/>
      <c r="AZ328" s="87"/>
      <c r="BA328" s="91" t="s">
        <v>1627</v>
      </c>
      <c r="BB328" s="84"/>
      <c r="BC328" s="85"/>
      <c r="BD328" s="85"/>
    </row>
    <row r="329" spans="1:56" s="86" customFormat="1" ht="46.5" customHeight="1">
      <c r="A329" s="87">
        <v>324</v>
      </c>
      <c r="B329" s="79" t="s">
        <v>1653</v>
      </c>
      <c r="C329" s="88">
        <v>45400</v>
      </c>
      <c r="D329" s="89">
        <v>0.70833333333333337</v>
      </c>
      <c r="E329" s="87" t="s">
        <v>58</v>
      </c>
      <c r="F329" s="87" t="s">
        <v>61</v>
      </c>
      <c r="G329" s="87" t="s">
        <v>62</v>
      </c>
      <c r="H329" s="90" t="s">
        <v>1625</v>
      </c>
      <c r="I329" s="90" t="s">
        <v>172</v>
      </c>
      <c r="J329" s="87" t="s">
        <v>173</v>
      </c>
      <c r="K329" s="87"/>
      <c r="L329" s="90" t="s">
        <v>1654</v>
      </c>
      <c r="M329" s="91">
        <v>3195172377</v>
      </c>
      <c r="N329" s="90" t="s">
        <v>1317</v>
      </c>
      <c r="O329" s="90" t="str">
        <f t="shared" si="37"/>
        <v>San Cristóbal</v>
      </c>
      <c r="P329" s="87" t="s">
        <v>370</v>
      </c>
      <c r="Q329" s="87"/>
      <c r="R329" s="87"/>
      <c r="S329" s="87"/>
      <c r="T329" s="87"/>
      <c r="U329" s="87"/>
      <c r="V329" s="90" t="str">
        <f t="shared" si="38"/>
        <v>Suroriente</v>
      </c>
      <c r="W329" s="87" t="s">
        <v>108</v>
      </c>
      <c r="X329" s="87"/>
      <c r="Y329" s="87"/>
      <c r="Z329" s="87"/>
      <c r="AA329" s="87"/>
      <c r="AB329" s="87"/>
      <c r="AC329" s="90" t="str">
        <f t="shared" si="39"/>
        <v>San Cristobal, Cerros Orientales</v>
      </c>
      <c r="AD329" s="87" t="s">
        <v>371</v>
      </c>
      <c r="AE329" s="87" t="s">
        <v>222</v>
      </c>
      <c r="AF329" s="87"/>
      <c r="AG329" s="87"/>
      <c r="AH329" s="87"/>
      <c r="AI329" s="87"/>
      <c r="AJ329" s="87"/>
      <c r="AK329" s="87"/>
      <c r="AL329" s="87"/>
      <c r="AM329" s="87"/>
      <c r="AN329" s="90" t="s">
        <v>1655</v>
      </c>
      <c r="AO329" s="90" t="s">
        <v>1656</v>
      </c>
      <c r="AP329" s="82"/>
      <c r="AQ329" s="87" t="s">
        <v>60</v>
      </c>
      <c r="AR329" s="87" t="s">
        <v>398</v>
      </c>
      <c r="AS329" s="82"/>
      <c r="AT329" s="87">
        <v>18</v>
      </c>
      <c r="AU329" s="87">
        <v>6</v>
      </c>
      <c r="AV329" s="87">
        <f t="shared" si="35"/>
        <v>24</v>
      </c>
      <c r="AW329" s="87" t="str">
        <f t="shared" si="36"/>
        <v>Accesibilidad Universal</v>
      </c>
      <c r="AX329" s="87" t="s">
        <v>246</v>
      </c>
      <c r="AY329" s="87"/>
      <c r="AZ329" s="87"/>
      <c r="BA329" s="91" t="s">
        <v>1627</v>
      </c>
      <c r="BB329" s="84"/>
      <c r="BC329" s="85"/>
      <c r="BD329" s="85"/>
    </row>
    <row r="330" spans="1:56" s="86" customFormat="1" ht="46.5" customHeight="1">
      <c r="A330" s="78">
        <v>325</v>
      </c>
      <c r="B330" s="79" t="s">
        <v>1657</v>
      </c>
      <c r="C330" s="88">
        <v>45400</v>
      </c>
      <c r="D330" s="89">
        <v>0.70833333333333337</v>
      </c>
      <c r="E330" s="87" t="s">
        <v>58</v>
      </c>
      <c r="F330" s="87" t="s">
        <v>61</v>
      </c>
      <c r="G330" s="87" t="s">
        <v>62</v>
      </c>
      <c r="H330" s="90" t="s">
        <v>1625</v>
      </c>
      <c r="I330" s="90" t="s">
        <v>172</v>
      </c>
      <c r="J330" s="87" t="s">
        <v>173</v>
      </c>
      <c r="K330" s="87"/>
      <c r="L330" s="90" t="s">
        <v>1658</v>
      </c>
      <c r="M330" s="91">
        <v>3007289679</v>
      </c>
      <c r="N330" s="90" t="s">
        <v>1317</v>
      </c>
      <c r="O330" s="90" t="str">
        <f t="shared" si="37"/>
        <v>Barrios Unidos</v>
      </c>
      <c r="P330" s="87" t="s">
        <v>686</v>
      </c>
      <c r="Q330" s="87"/>
      <c r="R330" s="87"/>
      <c r="S330" s="87"/>
      <c r="T330" s="87"/>
      <c r="U330" s="87"/>
      <c r="V330" s="90" t="str">
        <f t="shared" si="38"/>
        <v>Centro Ampliado</v>
      </c>
      <c r="W330" s="87" t="s">
        <v>415</v>
      </c>
      <c r="X330" s="87"/>
      <c r="Y330" s="87"/>
      <c r="Z330" s="87"/>
      <c r="AA330" s="87"/>
      <c r="AB330" s="87"/>
      <c r="AC330" s="90" t="str">
        <f t="shared" si="39"/>
        <v>Barrios Unidos</v>
      </c>
      <c r="AD330" s="87" t="s">
        <v>686</v>
      </c>
      <c r="AE330" s="87"/>
      <c r="AF330" s="87"/>
      <c r="AG330" s="87"/>
      <c r="AH330" s="87"/>
      <c r="AI330" s="87"/>
      <c r="AJ330" s="87"/>
      <c r="AK330" s="87"/>
      <c r="AL330" s="87"/>
      <c r="AM330" s="87"/>
      <c r="AN330" s="90" t="s">
        <v>160</v>
      </c>
      <c r="AO330" s="90" t="s">
        <v>1659</v>
      </c>
      <c r="AP330" s="82"/>
      <c r="AQ330" s="87" t="s">
        <v>60</v>
      </c>
      <c r="AR330" s="87" t="s">
        <v>398</v>
      </c>
      <c r="AS330" s="82"/>
      <c r="AT330" s="87">
        <v>10</v>
      </c>
      <c r="AU330" s="87">
        <v>7</v>
      </c>
      <c r="AV330" s="87">
        <f t="shared" si="35"/>
        <v>17</v>
      </c>
      <c r="AW330" s="87" t="str">
        <f t="shared" si="36"/>
        <v>Ninguna</v>
      </c>
      <c r="AX330" s="87" t="s">
        <v>75</v>
      </c>
      <c r="AY330" s="87"/>
      <c r="AZ330" s="87"/>
      <c r="BA330" s="91" t="s">
        <v>1627</v>
      </c>
      <c r="BB330" s="84"/>
      <c r="BC330" s="85"/>
      <c r="BD330" s="85"/>
    </row>
    <row r="331" spans="1:56" s="86" customFormat="1" ht="46.5" customHeight="1">
      <c r="A331" s="87">
        <v>326</v>
      </c>
      <c r="B331" s="79" t="s">
        <v>1660</v>
      </c>
      <c r="C331" s="88">
        <v>45400</v>
      </c>
      <c r="D331" s="89">
        <v>0.70833333333333337</v>
      </c>
      <c r="E331" s="87" t="s">
        <v>58</v>
      </c>
      <c r="F331" s="87" t="s">
        <v>61</v>
      </c>
      <c r="G331" s="87" t="s">
        <v>62</v>
      </c>
      <c r="H331" s="90" t="s">
        <v>1625</v>
      </c>
      <c r="I331" s="90" t="s">
        <v>172</v>
      </c>
      <c r="J331" s="87" t="s">
        <v>173</v>
      </c>
      <c r="K331" s="87"/>
      <c r="L331" s="90" t="s">
        <v>1661</v>
      </c>
      <c r="M331" s="91">
        <v>3017902221</v>
      </c>
      <c r="N331" s="90" t="s">
        <v>1662</v>
      </c>
      <c r="O331" s="90" t="str">
        <f t="shared" si="37"/>
        <v>Kennedy</v>
      </c>
      <c r="P331" s="87" t="s">
        <v>473</v>
      </c>
      <c r="Q331" s="87"/>
      <c r="R331" s="87"/>
      <c r="S331" s="87"/>
      <c r="T331" s="87"/>
      <c r="U331" s="87"/>
      <c r="V331" s="90" t="str">
        <f t="shared" si="38"/>
        <v>Suroccidente</v>
      </c>
      <c r="W331" s="87" t="s">
        <v>474</v>
      </c>
      <c r="X331" s="87"/>
      <c r="Y331" s="87"/>
      <c r="Z331" s="87"/>
      <c r="AA331" s="87"/>
      <c r="AB331" s="87"/>
      <c r="AC331" s="90" t="str">
        <f t="shared" si="39"/>
        <v>Kennedy, Tintal, Tintal</v>
      </c>
      <c r="AD331" s="87" t="s">
        <v>473</v>
      </c>
      <c r="AE331" s="87" t="s">
        <v>1134</v>
      </c>
      <c r="AF331" s="87" t="s">
        <v>1134</v>
      </c>
      <c r="AG331" s="87"/>
      <c r="AH331" s="87"/>
      <c r="AI331" s="87"/>
      <c r="AJ331" s="87"/>
      <c r="AK331" s="87"/>
      <c r="AL331" s="87"/>
      <c r="AM331" s="87"/>
      <c r="AN331" s="90" t="s">
        <v>160</v>
      </c>
      <c r="AO331" s="90" t="s">
        <v>1663</v>
      </c>
      <c r="AP331" s="82"/>
      <c r="AQ331" s="87" t="s">
        <v>60</v>
      </c>
      <c r="AR331" s="87" t="s">
        <v>398</v>
      </c>
      <c r="AS331" s="82"/>
      <c r="AT331" s="87">
        <v>23</v>
      </c>
      <c r="AU331" s="87">
        <v>6</v>
      </c>
      <c r="AV331" s="87">
        <f t="shared" si="35"/>
        <v>29</v>
      </c>
      <c r="AW331" s="87" t="str">
        <f t="shared" si="36"/>
        <v>Ninguna</v>
      </c>
      <c r="AX331" s="87" t="s">
        <v>75</v>
      </c>
      <c r="AY331" s="87"/>
      <c r="AZ331" s="87"/>
      <c r="BA331" s="91" t="s">
        <v>1627</v>
      </c>
      <c r="BB331" s="84"/>
      <c r="BC331" s="85"/>
      <c r="BD331" s="85"/>
    </row>
    <row r="332" spans="1:56" s="86" customFormat="1" ht="46.5" customHeight="1">
      <c r="A332" s="78">
        <v>327</v>
      </c>
      <c r="B332" s="79" t="s">
        <v>1664</v>
      </c>
      <c r="C332" s="88">
        <v>45400</v>
      </c>
      <c r="D332" s="89">
        <v>0.70833333333333337</v>
      </c>
      <c r="E332" s="87" t="s">
        <v>58</v>
      </c>
      <c r="F332" s="87" t="s">
        <v>61</v>
      </c>
      <c r="G332" s="87" t="s">
        <v>62</v>
      </c>
      <c r="H332" s="90" t="s">
        <v>1625</v>
      </c>
      <c r="I332" s="90" t="s">
        <v>172</v>
      </c>
      <c r="J332" s="87" t="s">
        <v>173</v>
      </c>
      <c r="K332" s="87"/>
      <c r="L332" s="90" t="s">
        <v>1500</v>
      </c>
      <c r="M332" s="91">
        <v>3045643837</v>
      </c>
      <c r="N332" s="90" t="s">
        <v>1317</v>
      </c>
      <c r="O332" s="90" t="str">
        <f t="shared" si="37"/>
        <v>Suba</v>
      </c>
      <c r="P332" s="87" t="s">
        <v>394</v>
      </c>
      <c r="Q332" s="87"/>
      <c r="R332" s="87"/>
      <c r="S332" s="87"/>
      <c r="T332" s="87"/>
      <c r="U332" s="87"/>
      <c r="V332" s="90" t="str">
        <f t="shared" si="38"/>
        <v>Noroccidente, Norte</v>
      </c>
      <c r="W332" s="87" t="s">
        <v>395</v>
      </c>
      <c r="X332" s="87" t="s">
        <v>429</v>
      </c>
      <c r="Y332" s="87"/>
      <c r="Z332" s="87"/>
      <c r="AA332" s="87"/>
      <c r="AB332" s="87"/>
      <c r="AC332" s="90" t="str">
        <f t="shared" si="39"/>
        <v>Suba, Suba Rincón, Tibabuyes, Niza, Britalia, Torca</v>
      </c>
      <c r="AD332" s="87" t="s">
        <v>394</v>
      </c>
      <c r="AE332" s="87" t="s">
        <v>396</v>
      </c>
      <c r="AF332" s="87" t="s">
        <v>924</v>
      </c>
      <c r="AG332" s="87" t="s">
        <v>571</v>
      </c>
      <c r="AH332" s="87" t="s">
        <v>876</v>
      </c>
      <c r="AI332" s="87" t="s">
        <v>528</v>
      </c>
      <c r="AJ332" s="87"/>
      <c r="AK332" s="87"/>
      <c r="AL332" s="87"/>
      <c r="AM332" s="87"/>
      <c r="AN332" s="90" t="s">
        <v>1665</v>
      </c>
      <c r="AO332" s="90" t="s">
        <v>1666</v>
      </c>
      <c r="AP332" s="82"/>
      <c r="AQ332" s="87" t="s">
        <v>60</v>
      </c>
      <c r="AR332" s="87" t="s">
        <v>398</v>
      </c>
      <c r="AS332" s="82"/>
      <c r="AT332" s="87">
        <v>22</v>
      </c>
      <c r="AU332" s="87">
        <v>4</v>
      </c>
      <c r="AV332" s="87">
        <f t="shared" si="35"/>
        <v>26</v>
      </c>
      <c r="AW332" s="87" t="str">
        <f t="shared" si="36"/>
        <v>Ninguna</v>
      </c>
      <c r="AX332" s="87" t="s">
        <v>75</v>
      </c>
      <c r="AY332" s="87"/>
      <c r="AZ332" s="87"/>
      <c r="BA332" s="91" t="s">
        <v>1627</v>
      </c>
      <c r="BB332" s="84"/>
      <c r="BC332" s="85"/>
      <c r="BD332" s="85"/>
    </row>
    <row r="333" spans="1:56" s="86" customFormat="1" ht="46.5" customHeight="1">
      <c r="A333" s="87">
        <v>328</v>
      </c>
      <c r="B333" s="79" t="s">
        <v>1667</v>
      </c>
      <c r="C333" s="88">
        <v>45400</v>
      </c>
      <c r="D333" s="89">
        <v>0.70833333333333337</v>
      </c>
      <c r="E333" s="87" t="s">
        <v>58</v>
      </c>
      <c r="F333" s="87" t="s">
        <v>61</v>
      </c>
      <c r="G333" s="87" t="s">
        <v>62</v>
      </c>
      <c r="H333" s="90" t="s">
        <v>1625</v>
      </c>
      <c r="I333" s="90" t="s">
        <v>172</v>
      </c>
      <c r="J333" s="87" t="s">
        <v>173</v>
      </c>
      <c r="K333" s="87"/>
      <c r="L333" s="90" t="s">
        <v>1668</v>
      </c>
      <c r="M333" s="91" t="s">
        <v>1669</v>
      </c>
      <c r="N333" s="90" t="s">
        <v>1670</v>
      </c>
      <c r="O333" s="90" t="str">
        <f t="shared" si="37"/>
        <v>Bosa</v>
      </c>
      <c r="P333" s="87" t="s">
        <v>472</v>
      </c>
      <c r="Q333" s="87"/>
      <c r="R333" s="87"/>
      <c r="S333" s="87"/>
      <c r="T333" s="87"/>
      <c r="U333" s="87"/>
      <c r="V333" s="90" t="str">
        <f t="shared" si="38"/>
        <v>Suroccidente</v>
      </c>
      <c r="W333" s="87" t="s">
        <v>474</v>
      </c>
      <c r="X333" s="87"/>
      <c r="Y333" s="87"/>
      <c r="Z333" s="87"/>
      <c r="AA333" s="87"/>
      <c r="AB333" s="87"/>
      <c r="AC333" s="90" t="str">
        <f t="shared" si="39"/>
        <v>Bosa, Porvenir</v>
      </c>
      <c r="AD333" s="87" t="s">
        <v>472</v>
      </c>
      <c r="AE333" s="87" t="s">
        <v>705</v>
      </c>
      <c r="AF333" s="87"/>
      <c r="AG333" s="87"/>
      <c r="AH333" s="87"/>
      <c r="AI333" s="87"/>
      <c r="AJ333" s="87"/>
      <c r="AK333" s="87"/>
      <c r="AL333" s="87"/>
      <c r="AM333" s="87"/>
      <c r="AN333" s="90" t="s">
        <v>1671</v>
      </c>
      <c r="AO333" s="90" t="s">
        <v>1672</v>
      </c>
      <c r="AP333" s="82"/>
      <c r="AQ333" s="87" t="s">
        <v>60</v>
      </c>
      <c r="AR333" s="87" t="s">
        <v>398</v>
      </c>
      <c r="AS333" s="82"/>
      <c r="AT333" s="87">
        <v>36</v>
      </c>
      <c r="AU333" s="87">
        <v>4</v>
      </c>
      <c r="AV333" s="87">
        <f t="shared" si="35"/>
        <v>40</v>
      </c>
      <c r="AW333" s="87" t="str">
        <f t="shared" si="36"/>
        <v>Horarios Acordes, Contenidos adaptados</v>
      </c>
      <c r="AX333" s="87" t="s">
        <v>213</v>
      </c>
      <c r="AY333" s="87" t="s">
        <v>212</v>
      </c>
      <c r="AZ333" s="87"/>
      <c r="BA333" s="91" t="s">
        <v>1627</v>
      </c>
      <c r="BB333" s="84"/>
      <c r="BC333" s="85"/>
      <c r="BD333" s="85"/>
    </row>
    <row r="334" spans="1:56" s="86" customFormat="1" ht="46.5" customHeight="1">
      <c r="A334" s="78">
        <v>329</v>
      </c>
      <c r="B334" s="79" t="s">
        <v>1673</v>
      </c>
      <c r="C334" s="88">
        <v>45400</v>
      </c>
      <c r="D334" s="89">
        <v>0.70833333333333337</v>
      </c>
      <c r="E334" s="87" t="s">
        <v>58</v>
      </c>
      <c r="F334" s="87" t="s">
        <v>61</v>
      </c>
      <c r="G334" s="87" t="s">
        <v>62</v>
      </c>
      <c r="H334" s="90" t="s">
        <v>1625</v>
      </c>
      <c r="I334" s="90" t="s">
        <v>172</v>
      </c>
      <c r="J334" s="87" t="s">
        <v>173</v>
      </c>
      <c r="K334" s="87"/>
      <c r="L334" s="90" t="s">
        <v>1674</v>
      </c>
      <c r="M334" s="91" t="s">
        <v>1675</v>
      </c>
      <c r="N334" s="90" t="s">
        <v>1676</v>
      </c>
      <c r="O334" s="90" t="str">
        <f t="shared" si="37"/>
        <v>Tunjuelito</v>
      </c>
      <c r="P334" s="87" t="s">
        <v>618</v>
      </c>
      <c r="Q334" s="87"/>
      <c r="R334" s="87"/>
      <c r="S334" s="87"/>
      <c r="T334" s="87"/>
      <c r="U334" s="87"/>
      <c r="V334" s="90" t="str">
        <f t="shared" si="38"/>
        <v>Suroriente</v>
      </c>
      <c r="W334" s="87" t="s">
        <v>108</v>
      </c>
      <c r="X334" s="87"/>
      <c r="Y334" s="87"/>
      <c r="Z334" s="87"/>
      <c r="AA334" s="87"/>
      <c r="AB334" s="87"/>
      <c r="AC334" s="90" t="str">
        <f t="shared" si="39"/>
        <v>Tunjuelito, Arborizadora</v>
      </c>
      <c r="AD334" s="87" t="s">
        <v>618</v>
      </c>
      <c r="AE334" s="87" t="s">
        <v>110</v>
      </c>
      <c r="AF334" s="87"/>
      <c r="AG334" s="87"/>
      <c r="AH334" s="87"/>
      <c r="AI334" s="87"/>
      <c r="AJ334" s="87"/>
      <c r="AK334" s="87"/>
      <c r="AL334" s="87"/>
      <c r="AM334" s="87"/>
      <c r="AN334" s="90" t="s">
        <v>1677</v>
      </c>
      <c r="AO334" s="90" t="s">
        <v>1678</v>
      </c>
      <c r="AP334" s="82"/>
      <c r="AQ334" s="87" t="s">
        <v>60</v>
      </c>
      <c r="AR334" s="87" t="s">
        <v>398</v>
      </c>
      <c r="AS334" s="82"/>
      <c r="AT334" s="87">
        <v>41</v>
      </c>
      <c r="AU334" s="87">
        <v>4</v>
      </c>
      <c r="AV334" s="87">
        <f t="shared" si="35"/>
        <v>45</v>
      </c>
      <c r="AW334" s="87" t="str">
        <f t="shared" si="36"/>
        <v>Horarios Acordes</v>
      </c>
      <c r="AX334" s="87" t="s">
        <v>213</v>
      </c>
      <c r="AY334" s="87"/>
      <c r="AZ334" s="87"/>
      <c r="BA334" s="91" t="s">
        <v>1627</v>
      </c>
      <c r="BB334" s="84"/>
      <c r="BC334" s="85"/>
      <c r="BD334" s="85"/>
    </row>
    <row r="335" spans="1:56" s="86" customFormat="1" ht="46.5" customHeight="1">
      <c r="A335" s="87">
        <v>330</v>
      </c>
      <c r="B335" s="79" t="s">
        <v>1679</v>
      </c>
      <c r="C335" s="88">
        <v>45400</v>
      </c>
      <c r="D335" s="89">
        <v>0.70833333333333337</v>
      </c>
      <c r="E335" s="87" t="s">
        <v>58</v>
      </c>
      <c r="F335" s="87" t="s">
        <v>61</v>
      </c>
      <c r="G335" s="87" t="s">
        <v>62</v>
      </c>
      <c r="H335" s="90" t="s">
        <v>1625</v>
      </c>
      <c r="I335" s="90" t="s">
        <v>172</v>
      </c>
      <c r="J335" s="87" t="s">
        <v>173</v>
      </c>
      <c r="K335" s="87"/>
      <c r="L335" s="90"/>
      <c r="M335" s="91"/>
      <c r="N335" s="90"/>
      <c r="O335" s="90" t="str">
        <f t="shared" si="37"/>
        <v>Fontibón</v>
      </c>
      <c r="P335" s="87" t="s">
        <v>420</v>
      </c>
      <c r="Q335" s="87"/>
      <c r="R335" s="87"/>
      <c r="S335" s="87"/>
      <c r="T335" s="87"/>
      <c r="U335" s="87"/>
      <c r="V335" s="90" t="str">
        <f t="shared" si="38"/>
        <v>Noroccidente</v>
      </c>
      <c r="W335" s="87" t="s">
        <v>395</v>
      </c>
      <c r="X335" s="87"/>
      <c r="Y335" s="87"/>
      <c r="Z335" s="87"/>
      <c r="AA335" s="87"/>
      <c r="AB335" s="87"/>
      <c r="AC335" s="90" t="str">
        <f t="shared" si="39"/>
        <v>Salitre, Fontibón</v>
      </c>
      <c r="AD335" s="87" t="s">
        <v>258</v>
      </c>
      <c r="AE335" s="87" t="s">
        <v>420</v>
      </c>
      <c r="AF335" s="87"/>
      <c r="AG335" s="87"/>
      <c r="AH335" s="87"/>
      <c r="AI335" s="87"/>
      <c r="AJ335" s="87"/>
      <c r="AK335" s="87"/>
      <c r="AL335" s="87"/>
      <c r="AM335" s="87"/>
      <c r="AN335" s="90" t="s">
        <v>1680</v>
      </c>
      <c r="AO335" s="90" t="s">
        <v>1681</v>
      </c>
      <c r="AP335" s="82"/>
      <c r="AQ335" s="87" t="s">
        <v>60</v>
      </c>
      <c r="AR335" s="87" t="s">
        <v>398</v>
      </c>
      <c r="AS335" s="82"/>
      <c r="AT335" s="87">
        <v>51</v>
      </c>
      <c r="AU335" s="87">
        <v>2</v>
      </c>
      <c r="AV335" s="87">
        <f t="shared" si="35"/>
        <v>53</v>
      </c>
      <c r="AW335" s="87" t="str">
        <f t="shared" si="36"/>
        <v>Horarios Acordes, Contenidos adaptados</v>
      </c>
      <c r="AX335" s="87" t="s">
        <v>213</v>
      </c>
      <c r="AY335" s="87" t="s">
        <v>212</v>
      </c>
      <c r="AZ335" s="87"/>
      <c r="BA335" s="91" t="s">
        <v>1627</v>
      </c>
      <c r="BB335" s="84"/>
      <c r="BC335" s="85"/>
      <c r="BD335" s="85"/>
    </row>
    <row r="336" spans="1:56" s="86" customFormat="1" ht="46.5" customHeight="1">
      <c r="A336" s="78">
        <v>331</v>
      </c>
      <c r="B336" s="79" t="s">
        <v>1682</v>
      </c>
      <c r="C336" s="88">
        <v>45400</v>
      </c>
      <c r="D336" s="89">
        <v>0.70833333333333337</v>
      </c>
      <c r="E336" s="87" t="s">
        <v>58</v>
      </c>
      <c r="F336" s="87" t="s">
        <v>61</v>
      </c>
      <c r="G336" s="87" t="s">
        <v>62</v>
      </c>
      <c r="H336" s="90" t="s">
        <v>1625</v>
      </c>
      <c r="I336" s="90" t="s">
        <v>172</v>
      </c>
      <c r="J336" s="87" t="s">
        <v>173</v>
      </c>
      <c r="K336" s="87"/>
      <c r="L336" s="90" t="s">
        <v>72</v>
      </c>
      <c r="M336" s="90" t="s">
        <v>72</v>
      </c>
      <c r="N336" s="90" t="s">
        <v>72</v>
      </c>
      <c r="O336" s="90" t="str">
        <f t="shared" si="37"/>
        <v>Puente Aranda</v>
      </c>
      <c r="P336" s="87" t="s">
        <v>823</v>
      </c>
      <c r="Q336" s="87"/>
      <c r="R336" s="87"/>
      <c r="S336" s="87"/>
      <c r="T336" s="87"/>
      <c r="U336" s="87"/>
      <c r="V336" s="90" t="str">
        <f t="shared" si="38"/>
        <v>Centro Ampliado</v>
      </c>
      <c r="W336" s="87" t="s">
        <v>415</v>
      </c>
      <c r="X336" s="87"/>
      <c r="Y336" s="87"/>
      <c r="Z336" s="87"/>
      <c r="AA336" s="87"/>
      <c r="AB336" s="87"/>
      <c r="AC336" s="90" t="str">
        <f t="shared" si="39"/>
        <v>Puente Aranda</v>
      </c>
      <c r="AD336" s="87" t="s">
        <v>823</v>
      </c>
      <c r="AE336" s="87"/>
      <c r="AF336" s="87"/>
      <c r="AG336" s="87"/>
      <c r="AH336" s="87"/>
      <c r="AI336" s="87"/>
      <c r="AJ336" s="87"/>
      <c r="AK336" s="87"/>
      <c r="AL336" s="87"/>
      <c r="AM336" s="87"/>
      <c r="AN336" s="90"/>
      <c r="AO336" s="90" t="s">
        <v>1683</v>
      </c>
      <c r="AP336" s="82"/>
      <c r="AQ336" s="87" t="s">
        <v>60</v>
      </c>
      <c r="AR336" s="87" t="s">
        <v>398</v>
      </c>
      <c r="AS336" s="82"/>
      <c r="AT336" s="87">
        <v>25</v>
      </c>
      <c r="AU336" s="87">
        <v>6</v>
      </c>
      <c r="AV336" s="87">
        <f t="shared" si="35"/>
        <v>31</v>
      </c>
      <c r="AW336" s="87" t="str">
        <f t="shared" si="36"/>
        <v>Horarios Acordes, Accesibilidad Universal</v>
      </c>
      <c r="AX336" s="87" t="s">
        <v>213</v>
      </c>
      <c r="AY336" s="87" t="s">
        <v>246</v>
      </c>
      <c r="AZ336" s="87"/>
      <c r="BA336" s="91" t="s">
        <v>1627</v>
      </c>
      <c r="BB336" s="84"/>
      <c r="BC336" s="85"/>
      <c r="BD336" s="85"/>
    </row>
    <row r="337" spans="1:56" s="86" customFormat="1" ht="46.5" customHeight="1">
      <c r="A337" s="87">
        <v>332</v>
      </c>
      <c r="B337" s="79" t="s">
        <v>1684</v>
      </c>
      <c r="C337" s="88">
        <v>45400</v>
      </c>
      <c r="D337" s="89">
        <v>0.70833333333333337</v>
      </c>
      <c r="E337" s="87" t="s">
        <v>58</v>
      </c>
      <c r="F337" s="87" t="s">
        <v>61</v>
      </c>
      <c r="G337" s="87" t="s">
        <v>62</v>
      </c>
      <c r="H337" s="90" t="s">
        <v>1625</v>
      </c>
      <c r="I337" s="90" t="s">
        <v>172</v>
      </c>
      <c r="J337" s="87" t="s">
        <v>173</v>
      </c>
      <c r="K337" s="87"/>
      <c r="L337" s="90" t="s">
        <v>1583</v>
      </c>
      <c r="M337" s="91" t="s">
        <v>1685</v>
      </c>
      <c r="N337" s="90" t="s">
        <v>72</v>
      </c>
      <c r="O337" s="90" t="str">
        <f t="shared" si="37"/>
        <v>Teusaquillo</v>
      </c>
      <c r="P337" s="87" t="s">
        <v>665</v>
      </c>
      <c r="Q337" s="87"/>
      <c r="R337" s="87"/>
      <c r="S337" s="87"/>
      <c r="T337" s="87"/>
      <c r="U337" s="87"/>
      <c r="V337" s="90" t="str">
        <f t="shared" si="38"/>
        <v>Centro Ampliado</v>
      </c>
      <c r="W337" s="87" t="s">
        <v>415</v>
      </c>
      <c r="X337" s="87"/>
      <c r="Y337" s="87"/>
      <c r="Z337" s="87"/>
      <c r="AA337" s="87"/>
      <c r="AB337" s="87"/>
      <c r="AC337" s="90" t="str">
        <f t="shared" si="39"/>
        <v>Teusaquillo</v>
      </c>
      <c r="AD337" s="87" t="s">
        <v>665</v>
      </c>
      <c r="AE337" s="87"/>
      <c r="AF337" s="87"/>
      <c r="AG337" s="87"/>
      <c r="AH337" s="87"/>
      <c r="AI337" s="87"/>
      <c r="AJ337" s="87"/>
      <c r="AK337" s="87"/>
      <c r="AL337" s="87"/>
      <c r="AM337" s="87"/>
      <c r="AN337" s="90" t="s">
        <v>1686</v>
      </c>
      <c r="AO337" s="90" t="s">
        <v>1687</v>
      </c>
      <c r="AP337" s="82"/>
      <c r="AQ337" s="87" t="s">
        <v>60</v>
      </c>
      <c r="AR337" s="87" t="s">
        <v>398</v>
      </c>
      <c r="AS337" s="82"/>
      <c r="AT337" s="87">
        <v>20</v>
      </c>
      <c r="AU337" s="87">
        <v>4</v>
      </c>
      <c r="AV337" s="87">
        <f t="shared" si="35"/>
        <v>24</v>
      </c>
      <c r="AW337" s="87" t="str">
        <f t="shared" si="36"/>
        <v>Ninguna</v>
      </c>
      <c r="AX337" s="87" t="s">
        <v>75</v>
      </c>
      <c r="AY337" s="87"/>
      <c r="AZ337" s="87"/>
      <c r="BA337" s="91" t="s">
        <v>1627</v>
      </c>
      <c r="BB337" s="84"/>
      <c r="BC337" s="85"/>
      <c r="BD337" s="85"/>
    </row>
    <row r="338" spans="1:56" s="86" customFormat="1" ht="46.5" customHeight="1">
      <c r="A338" s="78">
        <v>333</v>
      </c>
      <c r="B338" s="79" t="s">
        <v>1688</v>
      </c>
      <c r="C338" s="88">
        <v>45400</v>
      </c>
      <c r="D338" s="89">
        <v>0.70833333333333337</v>
      </c>
      <c r="E338" s="87" t="s">
        <v>58</v>
      </c>
      <c r="F338" s="87" t="s">
        <v>61</v>
      </c>
      <c r="G338" s="87" t="s">
        <v>62</v>
      </c>
      <c r="H338" s="90" t="s">
        <v>1625</v>
      </c>
      <c r="I338" s="90" t="s">
        <v>172</v>
      </c>
      <c r="J338" s="87" t="s">
        <v>173</v>
      </c>
      <c r="K338" s="87"/>
      <c r="L338" s="90"/>
      <c r="M338" s="91"/>
      <c r="N338" s="90"/>
      <c r="O338" s="90" t="str">
        <f t="shared" si="37"/>
        <v>Engativá</v>
      </c>
      <c r="P338" s="87" t="s">
        <v>123</v>
      </c>
      <c r="Q338" s="87"/>
      <c r="R338" s="87"/>
      <c r="S338" s="87"/>
      <c r="T338" s="87"/>
      <c r="U338" s="87"/>
      <c r="V338" s="90" t="str">
        <f t="shared" si="38"/>
        <v>Noroccidente</v>
      </c>
      <c r="W338" s="87" t="s">
        <v>395</v>
      </c>
      <c r="X338" s="87"/>
      <c r="Y338" s="87"/>
      <c r="Z338" s="87"/>
      <c r="AA338" s="87"/>
      <c r="AB338" s="87"/>
      <c r="AC338" s="90" t="str">
        <f t="shared" si="39"/>
        <v>Engativá, Tabora</v>
      </c>
      <c r="AD338" s="87" t="s">
        <v>123</v>
      </c>
      <c r="AE338" s="87" t="s">
        <v>257</v>
      </c>
      <c r="AF338" s="87"/>
      <c r="AG338" s="87"/>
      <c r="AH338" s="87"/>
      <c r="AI338" s="87"/>
      <c r="AJ338" s="87"/>
      <c r="AK338" s="87"/>
      <c r="AL338" s="87"/>
      <c r="AM338" s="87"/>
      <c r="AN338" s="90" t="s">
        <v>1689</v>
      </c>
      <c r="AO338" s="90" t="s">
        <v>635</v>
      </c>
      <c r="AP338" s="82"/>
      <c r="AQ338" s="87" t="s">
        <v>60</v>
      </c>
      <c r="AR338" s="87" t="s">
        <v>398</v>
      </c>
      <c r="AS338" s="82"/>
      <c r="AT338" s="87">
        <v>29</v>
      </c>
      <c r="AU338" s="87">
        <v>5</v>
      </c>
      <c r="AV338" s="87">
        <f t="shared" si="35"/>
        <v>34</v>
      </c>
      <c r="AW338" s="87" t="str">
        <f t="shared" si="36"/>
        <v>Accesibilidad Universal</v>
      </c>
      <c r="AX338" s="87" t="s">
        <v>246</v>
      </c>
      <c r="AY338" s="87"/>
      <c r="AZ338" s="87"/>
      <c r="BA338" s="91" t="s">
        <v>1627</v>
      </c>
      <c r="BB338" s="84"/>
      <c r="BC338" s="85"/>
      <c r="BD338" s="85"/>
    </row>
    <row r="339" spans="1:56" s="86" customFormat="1" ht="46.5" customHeight="1">
      <c r="A339" s="87">
        <v>334</v>
      </c>
      <c r="B339" s="79" t="s">
        <v>1690</v>
      </c>
      <c r="C339" s="88">
        <v>45400</v>
      </c>
      <c r="D339" s="89">
        <v>0.70833333333333337</v>
      </c>
      <c r="E339" s="87" t="s">
        <v>58</v>
      </c>
      <c r="F339" s="87" t="s">
        <v>61</v>
      </c>
      <c r="G339" s="87" t="s">
        <v>62</v>
      </c>
      <c r="H339" s="90" t="s">
        <v>1625</v>
      </c>
      <c r="I339" s="90" t="s">
        <v>172</v>
      </c>
      <c r="J339" s="87" t="s">
        <v>173</v>
      </c>
      <c r="K339" s="87"/>
      <c r="L339" s="90" t="s">
        <v>232</v>
      </c>
      <c r="M339" s="91" t="s">
        <v>1558</v>
      </c>
      <c r="N339" s="90" t="s">
        <v>1691</v>
      </c>
      <c r="O339" s="90" t="str">
        <f t="shared" si="37"/>
        <v>Los Mártires</v>
      </c>
      <c r="P339" s="87" t="s">
        <v>542</v>
      </c>
      <c r="Q339" s="87"/>
      <c r="R339" s="87"/>
      <c r="S339" s="87"/>
      <c r="T339" s="87"/>
      <c r="U339" s="87"/>
      <c r="V339" s="90" t="str">
        <f t="shared" si="38"/>
        <v>Centro Ampliado</v>
      </c>
      <c r="W339" s="87" t="s">
        <v>415</v>
      </c>
      <c r="X339" s="87"/>
      <c r="Y339" s="87"/>
      <c r="Z339" s="87"/>
      <c r="AA339" s="87"/>
      <c r="AB339" s="87"/>
      <c r="AC339" s="90" t="str">
        <f t="shared" si="39"/>
        <v>Centro Histórico</v>
      </c>
      <c r="AD339" s="87" t="s">
        <v>488</v>
      </c>
      <c r="AE339" s="87"/>
      <c r="AF339" s="87"/>
      <c r="AG339" s="87"/>
      <c r="AH339" s="87"/>
      <c r="AI339" s="87"/>
      <c r="AJ339" s="87"/>
      <c r="AK339" s="87"/>
      <c r="AL339" s="87"/>
      <c r="AM339" s="87"/>
      <c r="AN339" s="90" t="s">
        <v>541</v>
      </c>
      <c r="AO339" s="90" t="s">
        <v>1692</v>
      </c>
      <c r="AP339" s="82"/>
      <c r="AQ339" s="87" t="s">
        <v>60</v>
      </c>
      <c r="AR339" s="87" t="s">
        <v>398</v>
      </c>
      <c r="AS339" s="82"/>
      <c r="AT339" s="87">
        <v>11</v>
      </c>
      <c r="AU339" s="87">
        <v>5</v>
      </c>
      <c r="AV339" s="87">
        <f t="shared" si="35"/>
        <v>16</v>
      </c>
      <c r="AW339" s="87" t="str">
        <f t="shared" si="36"/>
        <v>Ninguna</v>
      </c>
      <c r="AX339" s="87" t="s">
        <v>75</v>
      </c>
      <c r="AY339" s="87"/>
      <c r="AZ339" s="87"/>
      <c r="BA339" s="91" t="s">
        <v>1627</v>
      </c>
      <c r="BB339" s="84"/>
      <c r="BC339" s="85"/>
      <c r="BD339" s="85"/>
    </row>
    <row r="340" spans="1:56" s="86" customFormat="1" ht="46.5" customHeight="1">
      <c r="A340" s="78">
        <v>335</v>
      </c>
      <c r="B340" s="79" t="s">
        <v>1693</v>
      </c>
      <c r="C340" s="88">
        <v>45400</v>
      </c>
      <c r="D340" s="89">
        <v>0.70833333333333337</v>
      </c>
      <c r="E340" s="87" t="s">
        <v>58</v>
      </c>
      <c r="F340" s="87" t="s">
        <v>61</v>
      </c>
      <c r="G340" s="87" t="s">
        <v>62</v>
      </c>
      <c r="H340" s="90" t="s">
        <v>1625</v>
      </c>
      <c r="I340" s="90" t="s">
        <v>172</v>
      </c>
      <c r="J340" s="87" t="s">
        <v>173</v>
      </c>
      <c r="K340" s="87"/>
      <c r="L340" s="90" t="s">
        <v>1694</v>
      </c>
      <c r="M340" s="91">
        <v>3138810411</v>
      </c>
      <c r="N340" s="90" t="s">
        <v>1695</v>
      </c>
      <c r="O340" s="90" t="str">
        <f t="shared" si="37"/>
        <v>La Candelaria</v>
      </c>
      <c r="P340" s="87" t="s">
        <v>487</v>
      </c>
      <c r="Q340" s="87"/>
      <c r="R340" s="87"/>
      <c r="S340" s="87"/>
      <c r="T340" s="87"/>
      <c r="U340" s="87"/>
      <c r="V340" s="90" t="str">
        <f t="shared" si="38"/>
        <v>Centro Ampliado</v>
      </c>
      <c r="W340" s="87" t="s">
        <v>415</v>
      </c>
      <c r="X340" s="87"/>
      <c r="Y340" s="87"/>
      <c r="Z340" s="87"/>
      <c r="AA340" s="87"/>
      <c r="AB340" s="87"/>
      <c r="AC340" s="90" t="str">
        <f t="shared" si="39"/>
        <v>Centro Histórico</v>
      </c>
      <c r="AD340" s="87" t="s">
        <v>488</v>
      </c>
      <c r="AE340" s="87"/>
      <c r="AF340" s="87"/>
      <c r="AG340" s="87"/>
      <c r="AH340" s="87"/>
      <c r="AI340" s="87"/>
      <c r="AJ340" s="87"/>
      <c r="AK340" s="87"/>
      <c r="AL340" s="87"/>
      <c r="AM340" s="87"/>
      <c r="AN340" s="90"/>
      <c r="AO340" s="90" t="s">
        <v>1696</v>
      </c>
      <c r="AP340" s="82"/>
      <c r="AQ340" s="87" t="s">
        <v>60</v>
      </c>
      <c r="AR340" s="87" t="s">
        <v>398</v>
      </c>
      <c r="AS340" s="82"/>
      <c r="AT340" s="87">
        <v>15</v>
      </c>
      <c r="AU340" s="87">
        <v>5</v>
      </c>
      <c r="AV340" s="87">
        <f t="shared" si="35"/>
        <v>20</v>
      </c>
      <c r="AW340" s="87" t="str">
        <f t="shared" si="36"/>
        <v>Ninguna</v>
      </c>
      <c r="AX340" s="87" t="s">
        <v>75</v>
      </c>
      <c r="AY340" s="87"/>
      <c r="AZ340" s="87"/>
      <c r="BA340" s="91" t="s">
        <v>1627</v>
      </c>
      <c r="BB340" s="84"/>
      <c r="BC340" s="85"/>
      <c r="BD340" s="85"/>
    </row>
    <row r="341" spans="1:56" s="86" customFormat="1" ht="46.5" customHeight="1">
      <c r="A341" s="87">
        <v>336</v>
      </c>
      <c r="B341" s="79" t="s">
        <v>1697</v>
      </c>
      <c r="C341" s="88">
        <v>45401</v>
      </c>
      <c r="D341" s="89">
        <v>0.33333333333333331</v>
      </c>
      <c r="E341" s="87" t="s">
        <v>58</v>
      </c>
      <c r="F341" s="87" t="s">
        <v>149</v>
      </c>
      <c r="G341" s="87" t="s">
        <v>62</v>
      </c>
      <c r="H341" s="90" t="s">
        <v>1698</v>
      </c>
      <c r="I341" s="90" t="s">
        <v>172</v>
      </c>
      <c r="J341" s="87" t="s">
        <v>173</v>
      </c>
      <c r="K341" s="87"/>
      <c r="L341" s="90" t="s">
        <v>1699</v>
      </c>
      <c r="M341" s="91" t="s">
        <v>1700</v>
      </c>
      <c r="N341" s="90" t="s">
        <v>1701</v>
      </c>
      <c r="O341" s="90" t="str">
        <f t="shared" si="37"/>
        <v>Teusaquillo</v>
      </c>
      <c r="P341" s="87" t="s">
        <v>665</v>
      </c>
      <c r="Q341" s="87"/>
      <c r="R341" s="87"/>
      <c r="S341" s="87"/>
      <c r="T341" s="87"/>
      <c r="U341" s="87"/>
      <c r="V341" s="90" t="str">
        <f t="shared" si="38"/>
        <v>Centro Ampliado</v>
      </c>
      <c r="W341" s="87" t="s">
        <v>415</v>
      </c>
      <c r="X341" s="87"/>
      <c r="Y341" s="87"/>
      <c r="Z341" s="87"/>
      <c r="AA341" s="87"/>
      <c r="AB341" s="87"/>
      <c r="AC341" s="90" t="str">
        <f t="shared" si="39"/>
        <v>Centro Histórico, Teusaquillo</v>
      </c>
      <c r="AD341" s="87" t="s">
        <v>488</v>
      </c>
      <c r="AE341" s="87" t="s">
        <v>665</v>
      </c>
      <c r="AF341" s="87"/>
      <c r="AG341" s="87"/>
      <c r="AH341" s="87"/>
      <c r="AI341" s="87"/>
      <c r="AJ341" s="87"/>
      <c r="AK341" s="87"/>
      <c r="AL341" s="87"/>
      <c r="AM341" s="87"/>
      <c r="AN341" s="90" t="s">
        <v>160</v>
      </c>
      <c r="AO341" s="90" t="s">
        <v>1352</v>
      </c>
      <c r="AP341" s="82"/>
      <c r="AQ341" s="87" t="s">
        <v>59</v>
      </c>
      <c r="AR341" s="87" t="s">
        <v>80</v>
      </c>
      <c r="AS341" s="82"/>
      <c r="AT341" s="87">
        <v>3</v>
      </c>
      <c r="AU341" s="87">
        <v>3</v>
      </c>
      <c r="AV341" s="87">
        <f t="shared" si="35"/>
        <v>6</v>
      </c>
      <c r="AW341" s="87" t="str">
        <f t="shared" si="36"/>
        <v>No Aplica</v>
      </c>
      <c r="AX341" s="87" t="s">
        <v>78</v>
      </c>
      <c r="AY341" s="87"/>
      <c r="AZ341" s="87"/>
      <c r="BA341" s="91" t="s">
        <v>1702</v>
      </c>
      <c r="BB341" s="84"/>
      <c r="BC341" s="85"/>
      <c r="BD341" s="85"/>
    </row>
    <row r="342" spans="1:56" s="86" customFormat="1" ht="46.5" customHeight="1">
      <c r="A342" s="78">
        <v>337</v>
      </c>
      <c r="B342" s="79" t="s">
        <v>1703</v>
      </c>
      <c r="C342" s="88">
        <v>45402</v>
      </c>
      <c r="D342" s="89">
        <v>0.58333333333333337</v>
      </c>
      <c r="E342" s="87" t="s">
        <v>58</v>
      </c>
      <c r="F342" s="87" t="s">
        <v>61</v>
      </c>
      <c r="G342" s="87" t="s">
        <v>62</v>
      </c>
      <c r="H342" s="90" t="s">
        <v>1625</v>
      </c>
      <c r="I342" s="90" t="s">
        <v>172</v>
      </c>
      <c r="J342" s="87" t="s">
        <v>173</v>
      </c>
      <c r="K342" s="87"/>
      <c r="L342" s="90" t="s">
        <v>1704</v>
      </c>
      <c r="M342" s="91">
        <v>3112756605</v>
      </c>
      <c r="N342" s="90" t="s">
        <v>1317</v>
      </c>
      <c r="O342" s="90" t="str">
        <f t="shared" si="37"/>
        <v>Sumapaz</v>
      </c>
      <c r="P342" s="87" t="s">
        <v>327</v>
      </c>
      <c r="Q342" s="87"/>
      <c r="R342" s="87"/>
      <c r="S342" s="87"/>
      <c r="T342" s="87"/>
      <c r="U342" s="87"/>
      <c r="V342" s="90" t="str">
        <f t="shared" si="38"/>
        <v>Ruralidad</v>
      </c>
      <c r="W342" s="87" t="s">
        <v>109</v>
      </c>
      <c r="X342" s="87"/>
      <c r="Y342" s="87"/>
      <c r="Z342" s="87"/>
      <c r="AA342" s="87"/>
      <c r="AB342" s="87"/>
      <c r="AC342" s="90" t="str">
        <f t="shared" si="39"/>
        <v>Sumapaz</v>
      </c>
      <c r="AD342" s="87" t="s">
        <v>327</v>
      </c>
      <c r="AE342" s="87"/>
      <c r="AF342" s="87"/>
      <c r="AG342" s="87"/>
      <c r="AH342" s="87"/>
      <c r="AI342" s="87"/>
      <c r="AJ342" s="87"/>
      <c r="AK342" s="87"/>
      <c r="AL342" s="87"/>
      <c r="AM342" s="87"/>
      <c r="AN342" s="90"/>
      <c r="AO342" s="90" t="s">
        <v>1705</v>
      </c>
      <c r="AP342" s="82"/>
      <c r="AQ342" s="87" t="s">
        <v>60</v>
      </c>
      <c r="AR342" s="87" t="s">
        <v>398</v>
      </c>
      <c r="AS342" s="82"/>
      <c r="AT342" s="87">
        <v>4</v>
      </c>
      <c r="AU342" s="87">
        <v>6</v>
      </c>
      <c r="AV342" s="87">
        <f t="shared" si="35"/>
        <v>10</v>
      </c>
      <c r="AW342" s="87" t="str">
        <f t="shared" si="36"/>
        <v>Ninguna</v>
      </c>
      <c r="AX342" s="87" t="s">
        <v>75</v>
      </c>
      <c r="AY342" s="87"/>
      <c r="AZ342" s="87"/>
      <c r="BA342" s="91" t="s">
        <v>1627</v>
      </c>
      <c r="BB342" s="84"/>
      <c r="BC342" s="85"/>
      <c r="BD342" s="85"/>
    </row>
    <row r="343" spans="1:56" s="86" customFormat="1" ht="46.5" customHeight="1">
      <c r="A343" s="87">
        <v>338</v>
      </c>
      <c r="B343" s="79" t="s">
        <v>1706</v>
      </c>
      <c r="C343" s="88">
        <v>45402</v>
      </c>
      <c r="D343" s="89">
        <v>0.58333333333333337</v>
      </c>
      <c r="E343" s="87" t="s">
        <v>58</v>
      </c>
      <c r="F343" s="87" t="s">
        <v>61</v>
      </c>
      <c r="G343" s="87" t="s">
        <v>62</v>
      </c>
      <c r="H343" s="90" t="s">
        <v>1625</v>
      </c>
      <c r="I343" s="90" t="s">
        <v>172</v>
      </c>
      <c r="J343" s="87" t="s">
        <v>173</v>
      </c>
      <c r="K343" s="87"/>
      <c r="L343" s="90" t="s">
        <v>1707</v>
      </c>
      <c r="M343" s="91" t="s">
        <v>1708</v>
      </c>
      <c r="N343" s="90" t="s">
        <v>1709</v>
      </c>
      <c r="O343" s="90" t="str">
        <f t="shared" si="37"/>
        <v>Sumapaz</v>
      </c>
      <c r="P343" s="87" t="s">
        <v>327</v>
      </c>
      <c r="Q343" s="87"/>
      <c r="R343" s="87"/>
      <c r="S343" s="87"/>
      <c r="T343" s="87"/>
      <c r="U343" s="87"/>
      <c r="V343" s="90" t="str">
        <f t="shared" si="38"/>
        <v>Ruralidad</v>
      </c>
      <c r="W343" s="87" t="s">
        <v>109</v>
      </c>
      <c r="X343" s="87"/>
      <c r="Y343" s="87"/>
      <c r="Z343" s="87"/>
      <c r="AA343" s="87"/>
      <c r="AB343" s="87"/>
      <c r="AC343" s="90" t="str">
        <f t="shared" si="39"/>
        <v>Sumapaz</v>
      </c>
      <c r="AD343" s="87" t="s">
        <v>327</v>
      </c>
      <c r="AE343" s="87"/>
      <c r="AF343" s="87"/>
      <c r="AG343" s="87"/>
      <c r="AH343" s="87"/>
      <c r="AI343" s="87"/>
      <c r="AJ343" s="87"/>
      <c r="AK343" s="87"/>
      <c r="AL343" s="87"/>
      <c r="AM343" s="87"/>
      <c r="AN343" s="90"/>
      <c r="AO343" s="90" t="s">
        <v>1710</v>
      </c>
      <c r="AP343" s="82"/>
      <c r="AQ343" s="87" t="s">
        <v>60</v>
      </c>
      <c r="AR343" s="87" t="s">
        <v>398</v>
      </c>
      <c r="AS343" s="82"/>
      <c r="AT343" s="87">
        <v>16</v>
      </c>
      <c r="AU343" s="87">
        <v>6</v>
      </c>
      <c r="AV343" s="87">
        <f t="shared" si="35"/>
        <v>22</v>
      </c>
      <c r="AW343" s="87" t="str">
        <f t="shared" si="36"/>
        <v>Horarios Acordes</v>
      </c>
      <c r="AX343" s="87" t="s">
        <v>213</v>
      </c>
      <c r="AY343" s="87"/>
      <c r="AZ343" s="87"/>
      <c r="BA343" s="91" t="s">
        <v>1627</v>
      </c>
      <c r="BB343" s="84"/>
      <c r="BC343" s="85"/>
      <c r="BD343" s="85"/>
    </row>
    <row r="344" spans="1:56" s="86" customFormat="1" ht="46.5" customHeight="1">
      <c r="A344" s="78">
        <v>339</v>
      </c>
      <c r="B344" s="79" t="s">
        <v>271</v>
      </c>
      <c r="C344" s="88">
        <v>45401</v>
      </c>
      <c r="D344" s="89">
        <v>0.33333333333333331</v>
      </c>
      <c r="E344" s="87" t="s">
        <v>58</v>
      </c>
      <c r="F344" s="87" t="s">
        <v>61</v>
      </c>
      <c r="G344" s="87" t="s">
        <v>95</v>
      </c>
      <c r="H344" s="90" t="s">
        <v>1711</v>
      </c>
      <c r="I344" s="90" t="s">
        <v>188</v>
      </c>
      <c r="J344" s="87" t="s">
        <v>70</v>
      </c>
      <c r="K344" s="87" t="s">
        <v>71</v>
      </c>
      <c r="L344" s="90" t="s">
        <v>72</v>
      </c>
      <c r="M344" s="91" t="s">
        <v>72</v>
      </c>
      <c r="N344" s="90" t="s">
        <v>72</v>
      </c>
      <c r="O344" s="90" t="str">
        <f t="shared" si="37"/>
        <v>Distrital</v>
      </c>
      <c r="P344" s="87" t="s">
        <v>73</v>
      </c>
      <c r="Q344" s="87"/>
      <c r="R344" s="87"/>
      <c r="S344" s="87"/>
      <c r="T344" s="87"/>
      <c r="U344" s="87"/>
      <c r="V344" s="90" t="str">
        <f t="shared" si="38"/>
        <v>Distrital</v>
      </c>
      <c r="W344" s="87" t="s">
        <v>73</v>
      </c>
      <c r="X344" s="87"/>
      <c r="Y344" s="87"/>
      <c r="Z344" s="87"/>
      <c r="AA344" s="87"/>
      <c r="AB344" s="87"/>
      <c r="AC344" s="90" t="str">
        <f t="shared" si="39"/>
        <v>Distrital</v>
      </c>
      <c r="AD344" s="87" t="s">
        <v>73</v>
      </c>
      <c r="AE344" s="87"/>
      <c r="AF344" s="87"/>
      <c r="AG344" s="87"/>
      <c r="AH344" s="87"/>
      <c r="AI344" s="87"/>
      <c r="AJ344" s="87"/>
      <c r="AK344" s="87"/>
      <c r="AL344" s="87"/>
      <c r="AM344" s="87"/>
      <c r="AN344" s="90" t="s">
        <v>160</v>
      </c>
      <c r="AO344" s="92" t="s">
        <v>1712</v>
      </c>
      <c r="AP344" s="82"/>
      <c r="AQ344" s="87" t="s">
        <v>60</v>
      </c>
      <c r="AR344" s="87" t="s">
        <v>77</v>
      </c>
      <c r="AS344" s="82"/>
      <c r="AT344" s="87">
        <v>12</v>
      </c>
      <c r="AU344" s="87">
        <v>10</v>
      </c>
      <c r="AV344" s="87">
        <f t="shared" si="35"/>
        <v>22</v>
      </c>
      <c r="AW344" s="87" t="str">
        <f t="shared" si="36"/>
        <v>No Aplica</v>
      </c>
      <c r="AX344" s="87" t="s">
        <v>78</v>
      </c>
      <c r="AY344" s="87"/>
      <c r="AZ344" s="87"/>
      <c r="BA344" s="91" t="s">
        <v>1713</v>
      </c>
      <c r="BB344" s="84"/>
      <c r="BC344" s="85"/>
      <c r="BD344" s="85"/>
    </row>
    <row r="345" spans="1:56" s="86" customFormat="1" ht="46.5" customHeight="1">
      <c r="A345" s="87">
        <v>340</v>
      </c>
      <c r="B345" s="79" t="s">
        <v>1714</v>
      </c>
      <c r="C345" s="88">
        <v>45401</v>
      </c>
      <c r="D345" s="89">
        <v>0.41666666666666669</v>
      </c>
      <c r="E345" s="87" t="s">
        <v>58</v>
      </c>
      <c r="F345" s="87" t="s">
        <v>1437</v>
      </c>
      <c r="G345" s="87" t="s">
        <v>95</v>
      </c>
      <c r="H345" s="90" t="s">
        <v>1715</v>
      </c>
      <c r="I345" s="90" t="s">
        <v>64</v>
      </c>
      <c r="J345" s="87" t="s">
        <v>70</v>
      </c>
      <c r="K345" s="87"/>
      <c r="L345" s="90" t="s">
        <v>72</v>
      </c>
      <c r="M345" s="90" t="s">
        <v>72</v>
      </c>
      <c r="N345" s="90" t="s">
        <v>72</v>
      </c>
      <c r="O345" s="90" t="str">
        <f t="shared" si="37"/>
        <v>Distrital</v>
      </c>
      <c r="P345" s="87" t="s">
        <v>73</v>
      </c>
      <c r="Q345" s="87"/>
      <c r="R345" s="87"/>
      <c r="S345" s="87"/>
      <c r="T345" s="87"/>
      <c r="U345" s="87"/>
      <c r="V345" s="90" t="str">
        <f t="shared" si="38"/>
        <v>Distrital</v>
      </c>
      <c r="W345" s="87" t="s">
        <v>73</v>
      </c>
      <c r="X345" s="87"/>
      <c r="Y345" s="87"/>
      <c r="Z345" s="87"/>
      <c r="AA345" s="87"/>
      <c r="AB345" s="87"/>
      <c r="AC345" s="90" t="str">
        <f t="shared" si="39"/>
        <v>Distrital</v>
      </c>
      <c r="AD345" s="87" t="s">
        <v>73</v>
      </c>
      <c r="AE345" s="87"/>
      <c r="AF345" s="87"/>
      <c r="AG345" s="87"/>
      <c r="AH345" s="87"/>
      <c r="AI345" s="87"/>
      <c r="AJ345" s="87"/>
      <c r="AK345" s="87"/>
      <c r="AL345" s="87"/>
      <c r="AM345" s="87"/>
      <c r="AN345" s="90" t="s">
        <v>160</v>
      </c>
      <c r="AO345" s="92" t="s">
        <v>1716</v>
      </c>
      <c r="AP345" s="82"/>
      <c r="AQ345" s="87" t="s">
        <v>59</v>
      </c>
      <c r="AR345" s="87" t="s">
        <v>80</v>
      </c>
      <c r="AS345" s="82"/>
      <c r="AT345" s="87">
        <v>6</v>
      </c>
      <c r="AU345" s="87">
        <v>3</v>
      </c>
      <c r="AV345" s="87">
        <f t="shared" si="35"/>
        <v>9</v>
      </c>
      <c r="AW345" s="87" t="str">
        <f t="shared" si="36"/>
        <v>No Aplica</v>
      </c>
      <c r="AX345" s="87" t="s">
        <v>78</v>
      </c>
      <c r="AY345" s="87"/>
      <c r="AZ345" s="87"/>
      <c r="BA345" s="91" t="s">
        <v>1717</v>
      </c>
      <c r="BB345" s="84"/>
      <c r="BC345" s="85"/>
      <c r="BD345" s="85"/>
    </row>
    <row r="346" spans="1:56" s="86" customFormat="1" ht="46.5" customHeight="1">
      <c r="A346" s="78">
        <v>341</v>
      </c>
      <c r="B346" s="79" t="s">
        <v>1718</v>
      </c>
      <c r="C346" s="88">
        <v>45401</v>
      </c>
      <c r="D346" s="89">
        <v>0.625</v>
      </c>
      <c r="E346" s="87" t="s">
        <v>93</v>
      </c>
      <c r="F346" s="87" t="s">
        <v>102</v>
      </c>
      <c r="G346" s="87" t="s">
        <v>95</v>
      </c>
      <c r="H346" s="90" t="s">
        <v>1719</v>
      </c>
      <c r="I346" s="90" t="s">
        <v>118</v>
      </c>
      <c r="J346" s="87" t="s">
        <v>119</v>
      </c>
      <c r="K346" s="87" t="s">
        <v>129</v>
      </c>
      <c r="L346" s="90" t="s">
        <v>891</v>
      </c>
      <c r="M346" s="91">
        <v>3244150125</v>
      </c>
      <c r="N346" s="90" t="s">
        <v>980</v>
      </c>
      <c r="O346" s="90" t="str">
        <f t="shared" si="37"/>
        <v>Distrital</v>
      </c>
      <c r="P346" s="87" t="s">
        <v>73</v>
      </c>
      <c r="Q346" s="87"/>
      <c r="R346" s="87"/>
      <c r="S346" s="87"/>
      <c r="T346" s="87"/>
      <c r="U346" s="87"/>
      <c r="V346" s="90" t="str">
        <f t="shared" si="38"/>
        <v>Distrital</v>
      </c>
      <c r="W346" s="87" t="s">
        <v>73</v>
      </c>
      <c r="X346" s="87"/>
      <c r="Y346" s="87"/>
      <c r="Z346" s="87"/>
      <c r="AA346" s="87"/>
      <c r="AB346" s="87"/>
      <c r="AC346" s="90" t="str">
        <f t="shared" si="39"/>
        <v>Distrital</v>
      </c>
      <c r="AD346" s="87" t="s">
        <v>73</v>
      </c>
      <c r="AE346" s="87"/>
      <c r="AF346" s="87"/>
      <c r="AG346" s="87"/>
      <c r="AH346" s="87"/>
      <c r="AI346" s="87"/>
      <c r="AJ346" s="87"/>
      <c r="AK346" s="87"/>
      <c r="AL346" s="87"/>
      <c r="AM346" s="87"/>
      <c r="AN346" s="90" t="s">
        <v>160</v>
      </c>
      <c r="AO346" s="92" t="s">
        <v>1720</v>
      </c>
      <c r="AP346" s="82"/>
      <c r="AQ346" s="87" t="s">
        <v>59</v>
      </c>
      <c r="AR346" s="87" t="s">
        <v>80</v>
      </c>
      <c r="AS346" s="82"/>
      <c r="AT346" s="87">
        <v>7</v>
      </c>
      <c r="AU346" s="87">
        <v>1</v>
      </c>
      <c r="AV346" s="87">
        <f t="shared" si="35"/>
        <v>8</v>
      </c>
      <c r="AW346" s="87" t="str">
        <f t="shared" si="36"/>
        <v>Contenidos adaptados</v>
      </c>
      <c r="AX346" s="87" t="s">
        <v>212</v>
      </c>
      <c r="AY346" s="87"/>
      <c r="AZ346" s="87"/>
      <c r="BA346" s="91" t="s">
        <v>1721</v>
      </c>
      <c r="BB346" s="84"/>
      <c r="BC346" s="85"/>
      <c r="BD346" s="85"/>
    </row>
    <row r="347" spans="1:56" s="86" customFormat="1" ht="46.5" customHeight="1">
      <c r="A347" s="87">
        <v>342</v>
      </c>
      <c r="B347" s="79" t="s">
        <v>1722</v>
      </c>
      <c r="C347" s="88">
        <v>45401</v>
      </c>
      <c r="D347" s="89">
        <v>0.72916666666666663</v>
      </c>
      <c r="E347" s="87" t="s">
        <v>93</v>
      </c>
      <c r="F347" s="87" t="s">
        <v>102</v>
      </c>
      <c r="G347" s="87" t="s">
        <v>62</v>
      </c>
      <c r="H347" s="90" t="s">
        <v>1723</v>
      </c>
      <c r="I347" s="90" t="s">
        <v>118</v>
      </c>
      <c r="J347" s="87" t="s">
        <v>173</v>
      </c>
      <c r="K347" s="87"/>
      <c r="L347" s="90" t="s">
        <v>1286</v>
      </c>
      <c r="M347" s="91">
        <v>3108148740</v>
      </c>
      <c r="N347" s="90" t="s">
        <v>439</v>
      </c>
      <c r="O347" s="90" t="str">
        <f t="shared" si="37"/>
        <v>Distrital</v>
      </c>
      <c r="P347" s="87" t="s">
        <v>73</v>
      </c>
      <c r="Q347" s="87"/>
      <c r="R347" s="87"/>
      <c r="S347" s="87"/>
      <c r="T347" s="87"/>
      <c r="U347" s="87"/>
      <c r="V347" s="90" t="str">
        <f t="shared" si="38"/>
        <v>Distrital</v>
      </c>
      <c r="W347" s="87" t="s">
        <v>73</v>
      </c>
      <c r="X347" s="87"/>
      <c r="Y347" s="87"/>
      <c r="Z347" s="87"/>
      <c r="AA347" s="87"/>
      <c r="AB347" s="87"/>
      <c r="AC347" s="90" t="str">
        <f t="shared" si="39"/>
        <v>Distrital</v>
      </c>
      <c r="AD347" s="87" t="s">
        <v>73</v>
      </c>
      <c r="AE347" s="87"/>
      <c r="AF347" s="87"/>
      <c r="AG347" s="87"/>
      <c r="AH347" s="87"/>
      <c r="AI347" s="87"/>
      <c r="AJ347" s="87"/>
      <c r="AK347" s="87"/>
      <c r="AL347" s="87"/>
      <c r="AM347" s="87"/>
      <c r="AN347" s="90" t="s">
        <v>160</v>
      </c>
      <c r="AO347" s="90" t="s">
        <v>1724</v>
      </c>
      <c r="AP347" s="82"/>
      <c r="AQ347" s="87" t="s">
        <v>59</v>
      </c>
      <c r="AR347" s="87" t="s">
        <v>80</v>
      </c>
      <c r="AS347" s="82"/>
      <c r="AT347" s="87">
        <v>4</v>
      </c>
      <c r="AU347" s="87">
        <v>1</v>
      </c>
      <c r="AV347" s="87">
        <f t="shared" si="35"/>
        <v>5</v>
      </c>
      <c r="AW347" s="87" t="str">
        <f t="shared" si="36"/>
        <v>No Aplica</v>
      </c>
      <c r="AX347" s="87" t="s">
        <v>78</v>
      </c>
      <c r="AY347" s="87"/>
      <c r="AZ347" s="87"/>
      <c r="BA347" s="91" t="s">
        <v>1725</v>
      </c>
      <c r="BB347" s="84"/>
      <c r="BC347" s="85"/>
      <c r="BD347" s="85"/>
    </row>
    <row r="348" spans="1:56" s="86" customFormat="1" ht="46.5" customHeight="1">
      <c r="A348" s="78">
        <v>343</v>
      </c>
      <c r="B348" s="79" t="s">
        <v>1726</v>
      </c>
      <c r="C348" s="88">
        <v>45401</v>
      </c>
      <c r="D348" s="89">
        <v>0.70833333333333337</v>
      </c>
      <c r="E348" s="87" t="s">
        <v>93</v>
      </c>
      <c r="F348" s="87" t="s">
        <v>102</v>
      </c>
      <c r="G348" s="87" t="s">
        <v>95</v>
      </c>
      <c r="H348" s="90" t="s">
        <v>1727</v>
      </c>
      <c r="I348" s="90" t="s">
        <v>118</v>
      </c>
      <c r="J348" s="87" t="s">
        <v>119</v>
      </c>
      <c r="K348" s="87" t="s">
        <v>129</v>
      </c>
      <c r="L348" s="90" t="s">
        <v>1728</v>
      </c>
      <c r="M348" s="91">
        <v>3178255261</v>
      </c>
      <c r="N348" s="90" t="s">
        <v>736</v>
      </c>
      <c r="O348" s="90" t="str">
        <f t="shared" si="37"/>
        <v>Distrital</v>
      </c>
      <c r="P348" s="87" t="s">
        <v>73</v>
      </c>
      <c r="Q348" s="87"/>
      <c r="R348" s="87"/>
      <c r="S348" s="87"/>
      <c r="T348" s="87"/>
      <c r="U348" s="87"/>
      <c r="V348" s="90" t="str">
        <f t="shared" si="38"/>
        <v>Distrital</v>
      </c>
      <c r="W348" s="87" t="s">
        <v>73</v>
      </c>
      <c r="X348" s="87"/>
      <c r="Y348" s="87"/>
      <c r="Z348" s="87"/>
      <c r="AA348" s="87"/>
      <c r="AB348" s="87"/>
      <c r="AC348" s="90" t="str">
        <f t="shared" si="39"/>
        <v>Distrital</v>
      </c>
      <c r="AD348" s="87" t="s">
        <v>73</v>
      </c>
      <c r="AE348" s="87"/>
      <c r="AF348" s="87"/>
      <c r="AG348" s="87"/>
      <c r="AH348" s="87"/>
      <c r="AI348" s="87"/>
      <c r="AJ348" s="87"/>
      <c r="AK348" s="87"/>
      <c r="AL348" s="87"/>
      <c r="AM348" s="87"/>
      <c r="AN348" s="90" t="s">
        <v>160</v>
      </c>
      <c r="AO348" s="92" t="s">
        <v>1729</v>
      </c>
      <c r="AP348" s="82"/>
      <c r="AQ348" s="87" t="s">
        <v>59</v>
      </c>
      <c r="AR348" s="87" t="s">
        <v>80</v>
      </c>
      <c r="AS348" s="82"/>
      <c r="AT348" s="87">
        <v>11</v>
      </c>
      <c r="AU348" s="87">
        <v>2</v>
      </c>
      <c r="AV348" s="87">
        <f t="shared" si="35"/>
        <v>13</v>
      </c>
      <c r="AW348" s="87" t="str">
        <f t="shared" si="36"/>
        <v>No Aplica</v>
      </c>
      <c r="AX348" s="87" t="s">
        <v>78</v>
      </c>
      <c r="AY348" s="87"/>
      <c r="AZ348" s="87"/>
      <c r="BA348" s="91" t="s">
        <v>1730</v>
      </c>
      <c r="BB348" s="84"/>
      <c r="BC348" s="85"/>
      <c r="BD348" s="85"/>
    </row>
    <row r="349" spans="1:56" s="86" customFormat="1" ht="46.5" customHeight="1">
      <c r="A349" s="87">
        <v>344</v>
      </c>
      <c r="B349" s="79" t="s">
        <v>1731</v>
      </c>
      <c r="C349" s="88">
        <v>45403</v>
      </c>
      <c r="D349" s="89">
        <v>0.625</v>
      </c>
      <c r="E349" s="87" t="s">
        <v>353</v>
      </c>
      <c r="F349" s="87" t="s">
        <v>61</v>
      </c>
      <c r="G349" s="87" t="s">
        <v>62</v>
      </c>
      <c r="H349" s="90" t="s">
        <v>1732</v>
      </c>
      <c r="I349" s="90" t="s">
        <v>188</v>
      </c>
      <c r="J349" s="87" t="s">
        <v>173</v>
      </c>
      <c r="K349" s="87"/>
      <c r="L349" s="90" t="s">
        <v>1733</v>
      </c>
      <c r="M349" s="91">
        <v>3358000</v>
      </c>
      <c r="N349" s="90" t="s">
        <v>364</v>
      </c>
      <c r="O349" s="90" t="str">
        <f t="shared" si="37"/>
        <v>Distrital</v>
      </c>
      <c r="P349" s="87" t="s">
        <v>73</v>
      </c>
      <c r="Q349" s="87"/>
      <c r="R349" s="87"/>
      <c r="S349" s="87"/>
      <c r="T349" s="87"/>
      <c r="U349" s="87"/>
      <c r="V349" s="90" t="str">
        <f t="shared" si="38"/>
        <v>Distrital</v>
      </c>
      <c r="W349" s="87" t="s">
        <v>73</v>
      </c>
      <c r="X349" s="87"/>
      <c r="Y349" s="87"/>
      <c r="Z349" s="87"/>
      <c r="AA349" s="87"/>
      <c r="AB349" s="87"/>
      <c r="AC349" s="90" t="str">
        <f t="shared" si="39"/>
        <v>Distrital</v>
      </c>
      <c r="AD349" s="87" t="s">
        <v>73</v>
      </c>
      <c r="AE349" s="87"/>
      <c r="AF349" s="87"/>
      <c r="AG349" s="87"/>
      <c r="AH349" s="87"/>
      <c r="AI349" s="87"/>
      <c r="AJ349" s="87"/>
      <c r="AK349" s="87"/>
      <c r="AL349" s="87"/>
      <c r="AM349" s="87"/>
      <c r="AN349" s="90" t="s">
        <v>160</v>
      </c>
      <c r="AO349" s="90" t="s">
        <v>1734</v>
      </c>
      <c r="AP349" s="82"/>
      <c r="AQ349" s="87" t="s">
        <v>60</v>
      </c>
      <c r="AR349" s="87" t="s">
        <v>77</v>
      </c>
      <c r="AS349" s="82"/>
      <c r="AT349" s="87">
        <v>5</v>
      </c>
      <c r="AU349" s="87">
        <v>6</v>
      </c>
      <c r="AV349" s="87">
        <f t="shared" si="35"/>
        <v>11</v>
      </c>
      <c r="AW349" s="87" t="str">
        <f t="shared" si="36"/>
        <v>Horarios Acordes</v>
      </c>
      <c r="AX349" s="87" t="s">
        <v>213</v>
      </c>
      <c r="AY349" s="87"/>
      <c r="AZ349" s="87"/>
      <c r="BA349" s="91" t="s">
        <v>1735</v>
      </c>
      <c r="BB349" s="84"/>
      <c r="BC349" s="85"/>
      <c r="BD349" s="85"/>
    </row>
    <row r="350" spans="1:56" s="86" customFormat="1" ht="46.5" customHeight="1">
      <c r="A350" s="78">
        <v>345</v>
      </c>
      <c r="B350" s="79" t="s">
        <v>1736</v>
      </c>
      <c r="C350" s="88">
        <v>45404</v>
      </c>
      <c r="D350" s="89">
        <v>0.375</v>
      </c>
      <c r="E350" s="87" t="s">
        <v>58</v>
      </c>
      <c r="F350" s="87" t="s">
        <v>61</v>
      </c>
      <c r="G350" s="87" t="s">
        <v>62</v>
      </c>
      <c r="H350" s="90" t="s">
        <v>1737</v>
      </c>
      <c r="I350" s="90" t="s">
        <v>172</v>
      </c>
      <c r="J350" s="87" t="s">
        <v>70</v>
      </c>
      <c r="K350" s="87" t="s">
        <v>300</v>
      </c>
      <c r="L350" s="90" t="s">
        <v>1738</v>
      </c>
      <c r="M350" s="91" t="s">
        <v>72</v>
      </c>
      <c r="N350" s="91" t="s">
        <v>72</v>
      </c>
      <c r="O350" s="90" t="str">
        <f t="shared" si="37"/>
        <v>Distrital</v>
      </c>
      <c r="P350" s="87" t="s">
        <v>73</v>
      </c>
      <c r="Q350" s="87"/>
      <c r="R350" s="87"/>
      <c r="S350" s="87"/>
      <c r="T350" s="87"/>
      <c r="U350" s="87"/>
      <c r="V350" s="90" t="str">
        <f t="shared" si="38"/>
        <v>Distrital</v>
      </c>
      <c r="W350" s="87" t="s">
        <v>73</v>
      </c>
      <c r="X350" s="87"/>
      <c r="Y350" s="87"/>
      <c r="Z350" s="87"/>
      <c r="AA350" s="87"/>
      <c r="AB350" s="87"/>
      <c r="AC350" s="90" t="str">
        <f t="shared" si="39"/>
        <v>Distrital</v>
      </c>
      <c r="AD350" s="87" t="s">
        <v>73</v>
      </c>
      <c r="AE350" s="87"/>
      <c r="AF350" s="87"/>
      <c r="AG350" s="87"/>
      <c r="AH350" s="87"/>
      <c r="AI350" s="87"/>
      <c r="AJ350" s="87"/>
      <c r="AK350" s="87"/>
      <c r="AL350" s="87"/>
      <c r="AM350" s="87"/>
      <c r="AN350" s="90" t="s">
        <v>1739</v>
      </c>
      <c r="AO350" s="90" t="s">
        <v>1740</v>
      </c>
      <c r="AP350" s="82"/>
      <c r="AQ350" s="87" t="s">
        <v>60</v>
      </c>
      <c r="AR350" s="87" t="s">
        <v>1741</v>
      </c>
      <c r="AS350" s="82"/>
      <c r="AT350" s="87">
        <v>17</v>
      </c>
      <c r="AU350" s="87">
        <v>4</v>
      </c>
      <c r="AV350" s="87">
        <f t="shared" si="35"/>
        <v>21</v>
      </c>
      <c r="AW350" s="87" t="str">
        <f t="shared" si="36"/>
        <v>Ninguna</v>
      </c>
      <c r="AX350" s="87" t="s">
        <v>75</v>
      </c>
      <c r="AY350" s="87"/>
      <c r="AZ350" s="87"/>
      <c r="BA350" s="91" t="s">
        <v>1742</v>
      </c>
      <c r="BB350" s="84"/>
      <c r="BC350" s="85"/>
      <c r="BD350" s="85"/>
    </row>
    <row r="351" spans="1:56" s="86" customFormat="1" ht="46.5" customHeight="1">
      <c r="A351" s="87">
        <v>346</v>
      </c>
      <c r="B351" s="79" t="s">
        <v>1743</v>
      </c>
      <c r="C351" s="88">
        <v>45404</v>
      </c>
      <c r="D351" s="89">
        <v>0.41666666666666669</v>
      </c>
      <c r="E351" s="87" t="s">
        <v>58</v>
      </c>
      <c r="F351" s="87" t="s">
        <v>1142</v>
      </c>
      <c r="G351" s="87" t="s">
        <v>62</v>
      </c>
      <c r="H351" s="90" t="s">
        <v>1744</v>
      </c>
      <c r="I351" s="90" t="s">
        <v>172</v>
      </c>
      <c r="J351" s="87" t="s">
        <v>119</v>
      </c>
      <c r="K351" s="87" t="s">
        <v>209</v>
      </c>
      <c r="L351" s="90" t="s">
        <v>1144</v>
      </c>
      <c r="M351" s="91">
        <v>3148396805</v>
      </c>
      <c r="N351" s="90" t="s">
        <v>1745</v>
      </c>
      <c r="O351" s="90" t="str">
        <f t="shared" si="37"/>
        <v>Distrital</v>
      </c>
      <c r="P351" s="87" t="s">
        <v>73</v>
      </c>
      <c r="Q351" s="87"/>
      <c r="R351" s="87"/>
      <c r="S351" s="87"/>
      <c r="T351" s="87"/>
      <c r="U351" s="87"/>
      <c r="V351" s="90" t="str">
        <f t="shared" si="38"/>
        <v>Distrital</v>
      </c>
      <c r="W351" s="87" t="s">
        <v>73</v>
      </c>
      <c r="X351" s="87"/>
      <c r="Y351" s="87"/>
      <c r="Z351" s="87"/>
      <c r="AA351" s="87"/>
      <c r="AB351" s="87"/>
      <c r="AC351" s="90" t="str">
        <f t="shared" si="39"/>
        <v>Distrital</v>
      </c>
      <c r="AD351" s="87" t="s">
        <v>73</v>
      </c>
      <c r="AE351" s="87"/>
      <c r="AF351" s="87"/>
      <c r="AG351" s="87"/>
      <c r="AH351" s="87"/>
      <c r="AI351" s="87"/>
      <c r="AJ351" s="87"/>
      <c r="AK351" s="87"/>
      <c r="AL351" s="87"/>
      <c r="AM351" s="87"/>
      <c r="AN351" s="90" t="s">
        <v>1746</v>
      </c>
      <c r="AO351" s="90" t="s">
        <v>1747</v>
      </c>
      <c r="AP351" s="82"/>
      <c r="AQ351" s="87" t="s">
        <v>59</v>
      </c>
      <c r="AR351" s="87" t="s">
        <v>80</v>
      </c>
      <c r="AS351" s="82"/>
      <c r="AT351" s="87">
        <v>6</v>
      </c>
      <c r="AU351" s="87">
        <v>2</v>
      </c>
      <c r="AV351" s="87">
        <f t="shared" si="35"/>
        <v>8</v>
      </c>
      <c r="AW351" s="87" t="str">
        <f t="shared" si="36"/>
        <v>No Aplica</v>
      </c>
      <c r="AX351" s="87" t="s">
        <v>78</v>
      </c>
      <c r="AY351" s="87"/>
      <c r="AZ351" s="87"/>
      <c r="BA351" s="91" t="s">
        <v>1748</v>
      </c>
      <c r="BB351" s="84"/>
      <c r="BC351" s="85"/>
      <c r="BD351" s="85"/>
    </row>
    <row r="352" spans="1:56" s="86" customFormat="1" ht="46.5" customHeight="1">
      <c r="A352" s="78">
        <v>347</v>
      </c>
      <c r="B352" s="79" t="s">
        <v>1749</v>
      </c>
      <c r="C352" s="88">
        <v>45404</v>
      </c>
      <c r="D352" s="89">
        <v>0.41666666666666669</v>
      </c>
      <c r="E352" s="87" t="s">
        <v>58</v>
      </c>
      <c r="F352" s="87" t="s">
        <v>1750</v>
      </c>
      <c r="G352" s="87" t="s">
        <v>62</v>
      </c>
      <c r="H352" s="90" t="s">
        <v>1751</v>
      </c>
      <c r="I352" s="90" t="s">
        <v>64</v>
      </c>
      <c r="J352" s="87" t="s">
        <v>70</v>
      </c>
      <c r="K352" s="87" t="s">
        <v>71</v>
      </c>
      <c r="L352" s="90" t="s">
        <v>72</v>
      </c>
      <c r="M352" s="91" t="s">
        <v>72</v>
      </c>
      <c r="N352" s="91" t="s">
        <v>72</v>
      </c>
      <c r="O352" s="90" t="str">
        <f t="shared" si="37"/>
        <v>Distrital</v>
      </c>
      <c r="P352" s="87" t="s">
        <v>73</v>
      </c>
      <c r="Q352" s="87"/>
      <c r="R352" s="87"/>
      <c r="S352" s="87"/>
      <c r="T352" s="87"/>
      <c r="U352" s="87"/>
      <c r="V352" s="90" t="str">
        <f t="shared" si="38"/>
        <v>Distrital</v>
      </c>
      <c r="W352" s="87" t="s">
        <v>73</v>
      </c>
      <c r="X352" s="87"/>
      <c r="Y352" s="87"/>
      <c r="Z352" s="87"/>
      <c r="AA352" s="87"/>
      <c r="AB352" s="87"/>
      <c r="AC352" s="90" t="str">
        <f t="shared" si="39"/>
        <v>Distrital</v>
      </c>
      <c r="AD352" s="87" t="s">
        <v>73</v>
      </c>
      <c r="AE352" s="87"/>
      <c r="AF352" s="87"/>
      <c r="AG352" s="87"/>
      <c r="AH352" s="87"/>
      <c r="AI352" s="87"/>
      <c r="AJ352" s="87"/>
      <c r="AK352" s="87"/>
      <c r="AL352" s="87"/>
      <c r="AM352" s="87"/>
      <c r="AN352" s="90" t="s">
        <v>160</v>
      </c>
      <c r="AO352" s="90" t="s">
        <v>1752</v>
      </c>
      <c r="AP352" s="82"/>
      <c r="AQ352" s="87" t="s">
        <v>59</v>
      </c>
      <c r="AR352" s="87" t="s">
        <v>80</v>
      </c>
      <c r="AS352" s="82"/>
      <c r="AT352" s="87">
        <v>0</v>
      </c>
      <c r="AU352" s="87">
        <v>11</v>
      </c>
      <c r="AV352" s="87">
        <f t="shared" si="35"/>
        <v>11</v>
      </c>
      <c r="AW352" s="87" t="str">
        <f t="shared" si="36"/>
        <v>No Aplica</v>
      </c>
      <c r="AX352" s="87" t="s">
        <v>78</v>
      </c>
      <c r="AY352" s="87"/>
      <c r="AZ352" s="87"/>
      <c r="BA352" s="91" t="s">
        <v>1753</v>
      </c>
      <c r="BB352" s="84"/>
      <c r="BC352" s="85"/>
      <c r="BD352" s="85"/>
    </row>
    <row r="353" spans="1:56" s="86" customFormat="1" ht="46.5" customHeight="1">
      <c r="A353" s="87">
        <v>348</v>
      </c>
      <c r="B353" s="79" t="s">
        <v>1754</v>
      </c>
      <c r="C353" s="88">
        <v>45404</v>
      </c>
      <c r="D353" s="89">
        <v>0.60416666666666663</v>
      </c>
      <c r="E353" s="87" t="s">
        <v>93</v>
      </c>
      <c r="F353" s="87" t="s">
        <v>94</v>
      </c>
      <c r="G353" s="87" t="s">
        <v>95</v>
      </c>
      <c r="H353" s="90" t="s">
        <v>1755</v>
      </c>
      <c r="I353" s="90" t="s">
        <v>64</v>
      </c>
      <c r="J353" s="87" t="s">
        <v>173</v>
      </c>
      <c r="K353" s="87"/>
      <c r="L353" s="90" t="s">
        <v>98</v>
      </c>
      <c r="M353" s="91" t="s">
        <v>72</v>
      </c>
      <c r="N353" s="90" t="s">
        <v>99</v>
      </c>
      <c r="O353" s="90" t="str">
        <f t="shared" si="37"/>
        <v>Distrital</v>
      </c>
      <c r="P353" s="87" t="s">
        <v>73</v>
      </c>
      <c r="Q353" s="87"/>
      <c r="R353" s="87"/>
      <c r="S353" s="87"/>
      <c r="T353" s="87"/>
      <c r="U353" s="87"/>
      <c r="V353" s="90" t="str">
        <f t="shared" si="38"/>
        <v>Distrital</v>
      </c>
      <c r="W353" s="87" t="s">
        <v>73</v>
      </c>
      <c r="X353" s="87"/>
      <c r="Y353" s="87"/>
      <c r="Z353" s="87"/>
      <c r="AA353" s="87"/>
      <c r="AB353" s="87"/>
      <c r="AC353" s="90" t="str">
        <f t="shared" si="39"/>
        <v>Distrital</v>
      </c>
      <c r="AD353" s="87" t="s">
        <v>73</v>
      </c>
      <c r="AE353" s="87"/>
      <c r="AF353" s="87"/>
      <c r="AG353" s="87"/>
      <c r="AH353" s="87"/>
      <c r="AI353" s="87"/>
      <c r="AJ353" s="87"/>
      <c r="AK353" s="87"/>
      <c r="AL353" s="87"/>
      <c r="AM353" s="87"/>
      <c r="AN353" s="90" t="s">
        <v>160</v>
      </c>
      <c r="AO353" s="90" t="s">
        <v>647</v>
      </c>
      <c r="AP353" s="82"/>
      <c r="AQ353" s="87" t="s">
        <v>59</v>
      </c>
      <c r="AR353" s="87" t="s">
        <v>80</v>
      </c>
      <c r="AS353" s="82"/>
      <c r="AT353" s="87">
        <v>4</v>
      </c>
      <c r="AU353" s="87">
        <v>1</v>
      </c>
      <c r="AV353" s="87">
        <v>5</v>
      </c>
      <c r="AW353" s="87" t="str">
        <f t="shared" si="36"/>
        <v>No Aplica</v>
      </c>
      <c r="AX353" s="87" t="s">
        <v>78</v>
      </c>
      <c r="AY353" s="87"/>
      <c r="AZ353" s="87"/>
      <c r="BA353" s="91" t="s">
        <v>1756</v>
      </c>
      <c r="BB353" s="84"/>
      <c r="BC353" s="85"/>
      <c r="BD353" s="85"/>
    </row>
    <row r="354" spans="1:56" s="86" customFormat="1" ht="46.5" customHeight="1">
      <c r="A354" s="78">
        <v>349</v>
      </c>
      <c r="B354" s="79" t="s">
        <v>1757</v>
      </c>
      <c r="C354" s="88">
        <v>45404</v>
      </c>
      <c r="D354" s="89">
        <v>0.60416666666666663</v>
      </c>
      <c r="E354" s="87" t="s">
        <v>58</v>
      </c>
      <c r="F354" s="87" t="s">
        <v>287</v>
      </c>
      <c r="G354" s="87" t="s">
        <v>95</v>
      </c>
      <c r="H354" s="90" t="s">
        <v>1758</v>
      </c>
      <c r="I354" s="90" t="s">
        <v>64</v>
      </c>
      <c r="J354" s="87" t="s">
        <v>173</v>
      </c>
      <c r="K354" s="87"/>
      <c r="L354" s="90" t="s">
        <v>289</v>
      </c>
      <c r="M354" s="91" t="s">
        <v>290</v>
      </c>
      <c r="N354" s="90" t="s">
        <v>1759</v>
      </c>
      <c r="O354" s="90" t="str">
        <f t="shared" si="37"/>
        <v>Distrital</v>
      </c>
      <c r="P354" s="87" t="s">
        <v>73</v>
      </c>
      <c r="Q354" s="87"/>
      <c r="R354" s="87"/>
      <c r="S354" s="87"/>
      <c r="T354" s="87"/>
      <c r="U354" s="87"/>
      <c r="V354" s="90" t="str">
        <f t="shared" si="38"/>
        <v>Distrital</v>
      </c>
      <c r="W354" s="87" t="s">
        <v>73</v>
      </c>
      <c r="X354" s="87"/>
      <c r="Y354" s="87"/>
      <c r="Z354" s="87"/>
      <c r="AA354" s="87"/>
      <c r="AB354" s="87"/>
      <c r="AC354" s="90" t="str">
        <f t="shared" si="39"/>
        <v>Distrital</v>
      </c>
      <c r="AD354" s="87" t="s">
        <v>73</v>
      </c>
      <c r="AE354" s="87"/>
      <c r="AF354" s="87"/>
      <c r="AG354" s="87"/>
      <c r="AH354" s="87"/>
      <c r="AI354" s="87"/>
      <c r="AJ354" s="87"/>
      <c r="AK354" s="87"/>
      <c r="AL354" s="87"/>
      <c r="AM354" s="87"/>
      <c r="AN354" s="90" t="s">
        <v>160</v>
      </c>
      <c r="AO354" s="90" t="s">
        <v>647</v>
      </c>
      <c r="AP354" s="82"/>
      <c r="AQ354" s="87" t="s">
        <v>60</v>
      </c>
      <c r="AR354" s="87" t="s">
        <v>77</v>
      </c>
      <c r="AS354" s="82"/>
      <c r="AT354" s="87">
        <v>219</v>
      </c>
      <c r="AU354" s="87">
        <v>9</v>
      </c>
      <c r="AV354" s="87">
        <f t="shared" ref="AV354:AV442" si="40">AT354+AU354</f>
        <v>228</v>
      </c>
      <c r="AW354" s="87" t="str">
        <f t="shared" si="36"/>
        <v>Horarios Acordes</v>
      </c>
      <c r="AX354" s="87" t="s">
        <v>213</v>
      </c>
      <c r="AY354" s="87"/>
      <c r="AZ354" s="87"/>
      <c r="BA354" s="91" t="s">
        <v>1760</v>
      </c>
      <c r="BB354" s="84"/>
      <c r="BC354" s="85"/>
      <c r="BD354" s="85"/>
    </row>
    <row r="355" spans="1:56" s="86" customFormat="1" ht="46.5" customHeight="1">
      <c r="A355" s="87">
        <v>350</v>
      </c>
      <c r="B355" s="79" t="s">
        <v>1761</v>
      </c>
      <c r="C355" s="88">
        <v>45404</v>
      </c>
      <c r="D355" s="89">
        <v>0.70833333333333337</v>
      </c>
      <c r="E355" s="87" t="s">
        <v>353</v>
      </c>
      <c r="F355" s="87" t="s">
        <v>102</v>
      </c>
      <c r="G355" s="87" t="s">
        <v>62</v>
      </c>
      <c r="H355" s="90" t="s">
        <v>1762</v>
      </c>
      <c r="I355" s="90" t="s">
        <v>172</v>
      </c>
      <c r="J355" s="87" t="s">
        <v>173</v>
      </c>
      <c r="K355" s="87"/>
      <c r="L355" s="90" t="s">
        <v>1286</v>
      </c>
      <c r="M355" s="91">
        <v>3108148740</v>
      </c>
      <c r="N355" s="90" t="s">
        <v>439</v>
      </c>
      <c r="O355" s="90" t="str">
        <f t="shared" si="37"/>
        <v>Distrital</v>
      </c>
      <c r="P355" s="87" t="s">
        <v>73</v>
      </c>
      <c r="Q355" s="87"/>
      <c r="R355" s="87"/>
      <c r="S355" s="87"/>
      <c r="T355" s="87"/>
      <c r="U355" s="87"/>
      <c r="V355" s="90" t="str">
        <f t="shared" si="38"/>
        <v>Distrital</v>
      </c>
      <c r="W355" s="87" t="s">
        <v>73</v>
      </c>
      <c r="X355" s="87"/>
      <c r="Y355" s="87"/>
      <c r="Z355" s="87"/>
      <c r="AA355" s="87"/>
      <c r="AB355" s="87"/>
      <c r="AC355" s="90" t="str">
        <f t="shared" si="39"/>
        <v>Distrital</v>
      </c>
      <c r="AD355" s="87" t="s">
        <v>73</v>
      </c>
      <c r="AE355" s="87"/>
      <c r="AF355" s="87"/>
      <c r="AG355" s="87"/>
      <c r="AH355" s="87"/>
      <c r="AI355" s="87"/>
      <c r="AJ355" s="87"/>
      <c r="AK355" s="87"/>
      <c r="AL355" s="87"/>
      <c r="AM355" s="87"/>
      <c r="AN355" s="90" t="s">
        <v>160</v>
      </c>
      <c r="AO355" s="90" t="s">
        <v>1763</v>
      </c>
      <c r="AP355" s="82"/>
      <c r="AQ355" s="87" t="s">
        <v>60</v>
      </c>
      <c r="AR355" s="87" t="s">
        <v>398</v>
      </c>
      <c r="AS355" s="82"/>
      <c r="AT355" s="87">
        <v>31</v>
      </c>
      <c r="AU355" s="87">
        <v>29</v>
      </c>
      <c r="AV355" s="87">
        <f t="shared" si="40"/>
        <v>60</v>
      </c>
      <c r="AW355" s="87" t="str">
        <f t="shared" si="36"/>
        <v>No Aplica</v>
      </c>
      <c r="AX355" s="87" t="s">
        <v>78</v>
      </c>
      <c r="AY355" s="87"/>
      <c r="AZ355" s="87"/>
      <c r="BA355" s="91" t="s">
        <v>1764</v>
      </c>
      <c r="BB355" s="84"/>
      <c r="BC355" s="85"/>
      <c r="BD355" s="85"/>
    </row>
    <row r="356" spans="1:56" s="86" customFormat="1" ht="46.5" customHeight="1">
      <c r="A356" s="78">
        <v>351</v>
      </c>
      <c r="B356" s="79" t="s">
        <v>1765</v>
      </c>
      <c r="C356" s="88">
        <v>45405</v>
      </c>
      <c r="D356" s="89">
        <v>0.375</v>
      </c>
      <c r="E356" s="87" t="s">
        <v>58</v>
      </c>
      <c r="F356" s="87" t="s">
        <v>61</v>
      </c>
      <c r="G356" s="87" t="s">
        <v>62</v>
      </c>
      <c r="H356" s="90" t="s">
        <v>1737</v>
      </c>
      <c r="I356" s="90" t="s">
        <v>172</v>
      </c>
      <c r="J356" s="87" t="s">
        <v>70</v>
      </c>
      <c r="K356" s="87" t="s">
        <v>300</v>
      </c>
      <c r="L356" s="90" t="s">
        <v>1766</v>
      </c>
      <c r="M356" s="91" t="s">
        <v>72</v>
      </c>
      <c r="N356" s="90" t="s">
        <v>72</v>
      </c>
      <c r="O356" s="90" t="str">
        <f t="shared" si="37"/>
        <v>Distrital</v>
      </c>
      <c r="P356" s="87" t="s">
        <v>73</v>
      </c>
      <c r="Q356" s="87"/>
      <c r="R356" s="87"/>
      <c r="S356" s="87"/>
      <c r="T356" s="87"/>
      <c r="U356" s="87"/>
      <c r="V356" s="90" t="str">
        <f t="shared" si="38"/>
        <v>Distrital</v>
      </c>
      <c r="W356" s="87" t="s">
        <v>73</v>
      </c>
      <c r="X356" s="87"/>
      <c r="Y356" s="87"/>
      <c r="Z356" s="87"/>
      <c r="AA356" s="87"/>
      <c r="AB356" s="87"/>
      <c r="AC356" s="90" t="str">
        <f t="shared" si="39"/>
        <v>Distrital</v>
      </c>
      <c r="AD356" s="87" t="s">
        <v>73</v>
      </c>
      <c r="AE356" s="87"/>
      <c r="AF356" s="87"/>
      <c r="AG356" s="87"/>
      <c r="AH356" s="87"/>
      <c r="AI356" s="87"/>
      <c r="AJ356" s="87"/>
      <c r="AK356" s="87"/>
      <c r="AL356" s="87"/>
      <c r="AM356" s="87"/>
      <c r="AN356" s="90" t="s">
        <v>1739</v>
      </c>
      <c r="AO356" s="90" t="s">
        <v>1740</v>
      </c>
      <c r="AP356" s="82"/>
      <c r="AQ356" s="87" t="s">
        <v>60</v>
      </c>
      <c r="AR356" s="87" t="s">
        <v>1741</v>
      </c>
      <c r="AS356" s="82"/>
      <c r="AT356" s="87">
        <v>30</v>
      </c>
      <c r="AU356" s="87">
        <v>4</v>
      </c>
      <c r="AV356" s="87">
        <f t="shared" si="40"/>
        <v>34</v>
      </c>
      <c r="AW356" s="87" t="str">
        <f t="shared" si="36"/>
        <v>Ninguna</v>
      </c>
      <c r="AX356" s="87" t="s">
        <v>75</v>
      </c>
      <c r="AY356" s="87"/>
      <c r="AZ356" s="87"/>
      <c r="BA356" s="91" t="s">
        <v>1767</v>
      </c>
      <c r="BB356" s="84"/>
      <c r="BC356" s="85"/>
      <c r="BD356" s="85"/>
    </row>
    <row r="357" spans="1:56" s="86" customFormat="1" ht="46.5" customHeight="1">
      <c r="A357" s="87">
        <v>352</v>
      </c>
      <c r="B357" s="79" t="s">
        <v>1768</v>
      </c>
      <c r="C357" s="88">
        <v>45405</v>
      </c>
      <c r="D357" s="89">
        <v>0.75</v>
      </c>
      <c r="E357" s="87" t="s">
        <v>58</v>
      </c>
      <c r="F357" s="87" t="s">
        <v>1769</v>
      </c>
      <c r="G357" s="87" t="s">
        <v>95</v>
      </c>
      <c r="H357" s="90" t="s">
        <v>1770</v>
      </c>
      <c r="I357" s="90" t="s">
        <v>128</v>
      </c>
      <c r="J357" s="87" t="s">
        <v>173</v>
      </c>
      <c r="K357" s="87"/>
      <c r="L357" s="90" t="s">
        <v>72</v>
      </c>
      <c r="M357" s="91" t="s">
        <v>72</v>
      </c>
      <c r="N357" s="90" t="s">
        <v>72</v>
      </c>
      <c r="O357" s="90" t="str">
        <f t="shared" si="37"/>
        <v>Kennedy</v>
      </c>
      <c r="P357" s="87" t="s">
        <v>473</v>
      </c>
      <c r="Q357" s="87"/>
      <c r="R357" s="87"/>
      <c r="S357" s="87"/>
      <c r="T357" s="87"/>
      <c r="U357" s="87"/>
      <c r="V357" s="90" t="str">
        <f t="shared" si="38"/>
        <v>Suroccidente</v>
      </c>
      <c r="W357" s="87" t="s">
        <v>474</v>
      </c>
      <c r="X357" s="87"/>
      <c r="Y357" s="87"/>
      <c r="Z357" s="87"/>
      <c r="AA357" s="87"/>
      <c r="AB357" s="87"/>
      <c r="AC357" s="90" t="str">
        <f t="shared" si="39"/>
        <v>Kennedy, Tintal, Patio Bonito, Edén, Porvenir, Bosa</v>
      </c>
      <c r="AD357" s="87" t="s">
        <v>473</v>
      </c>
      <c r="AE357" s="87" t="s">
        <v>1134</v>
      </c>
      <c r="AF357" s="87" t="s">
        <v>639</v>
      </c>
      <c r="AG357" s="87" t="s">
        <v>704</v>
      </c>
      <c r="AH357" s="87" t="s">
        <v>705</v>
      </c>
      <c r="AI357" s="87" t="s">
        <v>472</v>
      </c>
      <c r="AJ357" s="87"/>
      <c r="AK357" s="87"/>
      <c r="AL357" s="87"/>
      <c r="AM357" s="87"/>
      <c r="AN357" s="90" t="s">
        <v>473</v>
      </c>
      <c r="AO357" s="92" t="s">
        <v>1771</v>
      </c>
      <c r="AP357" s="82"/>
      <c r="AQ357" s="87" t="s">
        <v>59</v>
      </c>
      <c r="AR357" s="87" t="s">
        <v>80</v>
      </c>
      <c r="AS357" s="82"/>
      <c r="AT357" s="87">
        <v>27</v>
      </c>
      <c r="AU357" s="87">
        <v>5</v>
      </c>
      <c r="AV357" s="87">
        <f t="shared" si="40"/>
        <v>32</v>
      </c>
      <c r="AW357" s="87" t="str">
        <f t="shared" si="36"/>
        <v>No Aplica</v>
      </c>
      <c r="AX357" s="87" t="s">
        <v>78</v>
      </c>
      <c r="AY357" s="87"/>
      <c r="AZ357" s="87"/>
      <c r="BA357" s="91" t="s">
        <v>1772</v>
      </c>
      <c r="BB357" s="84"/>
      <c r="BC357" s="85"/>
      <c r="BD357" s="85"/>
    </row>
    <row r="358" spans="1:56" s="86" customFormat="1" ht="46.5" customHeight="1">
      <c r="A358" s="78">
        <v>353</v>
      </c>
      <c r="B358" s="79" t="s">
        <v>271</v>
      </c>
      <c r="C358" s="88">
        <v>45406</v>
      </c>
      <c r="D358" s="89">
        <v>0.33333333333333331</v>
      </c>
      <c r="E358" s="87" t="s">
        <v>58</v>
      </c>
      <c r="F358" s="87" t="s">
        <v>61</v>
      </c>
      <c r="G358" s="87" t="s">
        <v>95</v>
      </c>
      <c r="H358" s="90" t="s">
        <v>1773</v>
      </c>
      <c r="I358" s="90" t="s">
        <v>188</v>
      </c>
      <c r="J358" s="87" t="s">
        <v>70</v>
      </c>
      <c r="K358" s="87" t="s">
        <v>71</v>
      </c>
      <c r="L358" s="90" t="s">
        <v>72</v>
      </c>
      <c r="M358" s="91" t="s">
        <v>72</v>
      </c>
      <c r="N358" s="90" t="s">
        <v>72</v>
      </c>
      <c r="O358" s="90" t="str">
        <f t="shared" si="37"/>
        <v>Distrital</v>
      </c>
      <c r="P358" s="87" t="s">
        <v>73</v>
      </c>
      <c r="Q358" s="87"/>
      <c r="R358" s="87"/>
      <c r="S358" s="87"/>
      <c r="T358" s="87"/>
      <c r="U358" s="87"/>
      <c r="V358" s="90" t="str">
        <f t="shared" si="38"/>
        <v>Distrital</v>
      </c>
      <c r="W358" s="87" t="s">
        <v>73</v>
      </c>
      <c r="X358" s="87"/>
      <c r="Y358" s="87"/>
      <c r="Z358" s="87"/>
      <c r="AA358" s="87"/>
      <c r="AB358" s="87"/>
      <c r="AC358" s="90" t="str">
        <f t="shared" si="39"/>
        <v>Distrital</v>
      </c>
      <c r="AD358" s="87" t="s">
        <v>73</v>
      </c>
      <c r="AE358" s="87"/>
      <c r="AF358" s="87"/>
      <c r="AG358" s="87"/>
      <c r="AH358" s="87"/>
      <c r="AI358" s="87"/>
      <c r="AJ358" s="87"/>
      <c r="AK358" s="87"/>
      <c r="AL358" s="87"/>
      <c r="AM358" s="87"/>
      <c r="AN358" s="90" t="s">
        <v>160</v>
      </c>
      <c r="AO358" s="92" t="s">
        <v>1774</v>
      </c>
      <c r="AP358" s="82"/>
      <c r="AQ358" s="87" t="s">
        <v>60</v>
      </c>
      <c r="AR358" s="87" t="s">
        <v>77</v>
      </c>
      <c r="AS358" s="82"/>
      <c r="AT358" s="87">
        <v>16</v>
      </c>
      <c r="AU358" s="87">
        <v>14</v>
      </c>
      <c r="AV358" s="87">
        <f t="shared" si="40"/>
        <v>30</v>
      </c>
      <c r="AW358" s="87" t="str">
        <f t="shared" si="36"/>
        <v>No Aplica</v>
      </c>
      <c r="AX358" s="87" t="s">
        <v>78</v>
      </c>
      <c r="AY358" s="87"/>
      <c r="AZ358" s="87"/>
      <c r="BA358" s="91" t="s">
        <v>1775</v>
      </c>
      <c r="BB358" s="84"/>
      <c r="BC358" s="85"/>
      <c r="BD358" s="85"/>
    </row>
    <row r="359" spans="1:56" s="86" customFormat="1" ht="46.5" customHeight="1">
      <c r="A359" s="87">
        <v>354</v>
      </c>
      <c r="B359" s="79" t="s">
        <v>1776</v>
      </c>
      <c r="C359" s="88">
        <v>45406</v>
      </c>
      <c r="D359" s="89">
        <v>0.375</v>
      </c>
      <c r="E359" s="87" t="s">
        <v>58</v>
      </c>
      <c r="F359" s="87" t="s">
        <v>61</v>
      </c>
      <c r="G359" s="87" t="s">
        <v>62</v>
      </c>
      <c r="H359" s="90" t="s">
        <v>1777</v>
      </c>
      <c r="I359" s="90" t="s">
        <v>188</v>
      </c>
      <c r="J359" s="87" t="s">
        <v>173</v>
      </c>
      <c r="K359" s="87"/>
      <c r="L359" s="90" t="s">
        <v>1778</v>
      </c>
      <c r="M359" s="91" t="s">
        <v>72</v>
      </c>
      <c r="N359" s="90" t="s">
        <v>72</v>
      </c>
      <c r="O359" s="90" t="str">
        <f t="shared" si="37"/>
        <v>Distrital</v>
      </c>
      <c r="P359" s="87" t="s">
        <v>73</v>
      </c>
      <c r="Q359" s="87"/>
      <c r="R359" s="87"/>
      <c r="S359" s="87"/>
      <c r="T359" s="87"/>
      <c r="U359" s="87"/>
      <c r="V359" s="90" t="str">
        <f t="shared" si="38"/>
        <v>Distrital</v>
      </c>
      <c r="W359" s="87" t="s">
        <v>73</v>
      </c>
      <c r="X359" s="87"/>
      <c r="Y359" s="87"/>
      <c r="Z359" s="87"/>
      <c r="AA359" s="87"/>
      <c r="AB359" s="87"/>
      <c r="AC359" s="90" t="str">
        <f t="shared" si="39"/>
        <v>Distrital</v>
      </c>
      <c r="AD359" s="87" t="s">
        <v>73</v>
      </c>
      <c r="AE359" s="87"/>
      <c r="AF359" s="87"/>
      <c r="AG359" s="87"/>
      <c r="AH359" s="87"/>
      <c r="AI359" s="87"/>
      <c r="AJ359" s="87"/>
      <c r="AK359" s="87"/>
      <c r="AL359" s="87"/>
      <c r="AM359" s="87"/>
      <c r="AN359" s="90" t="s">
        <v>160</v>
      </c>
      <c r="AO359" s="90" t="s">
        <v>1740</v>
      </c>
      <c r="AP359" s="82"/>
      <c r="AQ359" s="87" t="s">
        <v>60</v>
      </c>
      <c r="AR359" s="87" t="s">
        <v>1741</v>
      </c>
      <c r="AS359" s="82"/>
      <c r="AT359" s="87">
        <v>100</v>
      </c>
      <c r="AU359" s="87">
        <v>2</v>
      </c>
      <c r="AV359" s="87">
        <f t="shared" si="40"/>
        <v>102</v>
      </c>
      <c r="AW359" s="87" t="str">
        <f t="shared" si="36"/>
        <v>No Aplica</v>
      </c>
      <c r="AX359" s="87" t="s">
        <v>78</v>
      </c>
      <c r="AY359" s="87"/>
      <c r="AZ359" s="87"/>
      <c r="BA359" s="91" t="s">
        <v>1779</v>
      </c>
      <c r="BB359" s="84"/>
      <c r="BC359" s="85"/>
      <c r="BD359" s="85"/>
    </row>
    <row r="360" spans="1:56" s="86" customFormat="1" ht="46.5" customHeight="1">
      <c r="A360" s="78">
        <v>355</v>
      </c>
      <c r="B360" s="79" t="s">
        <v>1781</v>
      </c>
      <c r="C360" s="88">
        <v>45406</v>
      </c>
      <c r="D360" s="89">
        <v>0.375</v>
      </c>
      <c r="E360" s="87" t="s">
        <v>58</v>
      </c>
      <c r="F360" s="87" t="s">
        <v>61</v>
      </c>
      <c r="G360" s="87" t="s">
        <v>62</v>
      </c>
      <c r="H360" s="90" t="s">
        <v>1737</v>
      </c>
      <c r="I360" s="90" t="s">
        <v>172</v>
      </c>
      <c r="J360" s="87" t="s">
        <v>70</v>
      </c>
      <c r="K360" s="87" t="s">
        <v>300</v>
      </c>
      <c r="L360" s="90" t="s">
        <v>72</v>
      </c>
      <c r="M360" s="91" t="s">
        <v>72</v>
      </c>
      <c r="N360" s="90" t="s">
        <v>72</v>
      </c>
      <c r="O360" s="90" t="str">
        <f t="shared" si="37"/>
        <v>Distrital</v>
      </c>
      <c r="P360" s="87" t="s">
        <v>73</v>
      </c>
      <c r="Q360" s="87"/>
      <c r="R360" s="87"/>
      <c r="S360" s="87"/>
      <c r="T360" s="87"/>
      <c r="U360" s="87"/>
      <c r="V360" s="90" t="str">
        <f t="shared" si="38"/>
        <v>Distrital</v>
      </c>
      <c r="W360" s="87" t="s">
        <v>73</v>
      </c>
      <c r="X360" s="87"/>
      <c r="Y360" s="87"/>
      <c r="Z360" s="87"/>
      <c r="AA360" s="87"/>
      <c r="AB360" s="87"/>
      <c r="AC360" s="90" t="str">
        <f t="shared" si="39"/>
        <v>Distrital</v>
      </c>
      <c r="AD360" s="87" t="s">
        <v>73</v>
      </c>
      <c r="AE360" s="87"/>
      <c r="AF360" s="87"/>
      <c r="AG360" s="87"/>
      <c r="AH360" s="87"/>
      <c r="AI360" s="87"/>
      <c r="AJ360" s="87"/>
      <c r="AK360" s="87"/>
      <c r="AL360" s="87"/>
      <c r="AM360" s="87"/>
      <c r="AN360" s="90" t="s">
        <v>160</v>
      </c>
      <c r="AO360" s="90" t="s">
        <v>1740</v>
      </c>
      <c r="AP360" s="82"/>
      <c r="AQ360" s="87" t="s">
        <v>60</v>
      </c>
      <c r="AR360" s="87" t="s">
        <v>1741</v>
      </c>
      <c r="AS360" s="82"/>
      <c r="AT360" s="87">
        <v>23</v>
      </c>
      <c r="AU360" s="87">
        <v>4</v>
      </c>
      <c r="AV360" s="87">
        <f t="shared" si="40"/>
        <v>27</v>
      </c>
      <c r="AW360" s="87" t="str">
        <f t="shared" si="36"/>
        <v>Accesibilidad Universal, Horarios Acordes, Contenidos adaptados</v>
      </c>
      <c r="AX360" s="87" t="s">
        <v>246</v>
      </c>
      <c r="AY360" s="87" t="s">
        <v>213</v>
      </c>
      <c r="AZ360" s="87" t="s">
        <v>212</v>
      </c>
      <c r="BA360" s="91" t="s">
        <v>1737</v>
      </c>
      <c r="BB360" s="84"/>
      <c r="BC360" s="85"/>
      <c r="BD360" s="85"/>
    </row>
    <row r="361" spans="1:56" s="86" customFormat="1" ht="46.5" customHeight="1">
      <c r="A361" s="87">
        <v>356</v>
      </c>
      <c r="B361" s="79" t="s">
        <v>1782</v>
      </c>
      <c r="C361" s="88">
        <v>45406</v>
      </c>
      <c r="D361" s="89">
        <v>0.375</v>
      </c>
      <c r="E361" s="87" t="s">
        <v>58</v>
      </c>
      <c r="F361" s="87" t="s">
        <v>135</v>
      </c>
      <c r="G361" s="87" t="s">
        <v>95</v>
      </c>
      <c r="H361" s="90" t="s">
        <v>1783</v>
      </c>
      <c r="I361" s="90" t="s">
        <v>188</v>
      </c>
      <c r="J361" s="87" t="s">
        <v>173</v>
      </c>
      <c r="K361" s="87"/>
      <c r="L361" s="90" t="s">
        <v>72</v>
      </c>
      <c r="M361" s="91" t="s">
        <v>72</v>
      </c>
      <c r="N361" s="90" t="s">
        <v>72</v>
      </c>
      <c r="O361" s="90" t="str">
        <f t="shared" si="37"/>
        <v>Puente Aranda</v>
      </c>
      <c r="P361" s="87" t="s">
        <v>823</v>
      </c>
      <c r="Q361" s="87"/>
      <c r="R361" s="87"/>
      <c r="S361" s="87"/>
      <c r="T361" s="87"/>
      <c r="U361" s="87"/>
      <c r="V361" s="90" t="str">
        <f t="shared" si="38"/>
        <v>Centro Ampliado</v>
      </c>
      <c r="W361" s="87" t="s">
        <v>415</v>
      </c>
      <c r="X361" s="87"/>
      <c r="Y361" s="87"/>
      <c r="Z361" s="87"/>
      <c r="AA361" s="87"/>
      <c r="AB361" s="87"/>
      <c r="AC361" s="90" t="str">
        <f t="shared" si="39"/>
        <v>Puente Aranda</v>
      </c>
      <c r="AD361" s="87" t="s">
        <v>823</v>
      </c>
      <c r="AE361" s="87"/>
      <c r="AF361" s="87"/>
      <c r="AG361" s="87"/>
      <c r="AH361" s="87"/>
      <c r="AI361" s="87"/>
      <c r="AJ361" s="87"/>
      <c r="AK361" s="87"/>
      <c r="AL361" s="87"/>
      <c r="AM361" s="87"/>
      <c r="AN361" s="90" t="s">
        <v>160</v>
      </c>
      <c r="AO361" s="92" t="s">
        <v>1784</v>
      </c>
      <c r="AP361" s="82"/>
      <c r="AQ361" s="87" t="s">
        <v>59</v>
      </c>
      <c r="AR361" s="87" t="s">
        <v>80</v>
      </c>
      <c r="AS361" s="82"/>
      <c r="AT361" s="87">
        <v>0</v>
      </c>
      <c r="AU361" s="87">
        <v>8</v>
      </c>
      <c r="AV361" s="87">
        <f t="shared" si="40"/>
        <v>8</v>
      </c>
      <c r="AW361" s="87" t="str">
        <f t="shared" si="36"/>
        <v>No Aplica</v>
      </c>
      <c r="AX361" s="87" t="s">
        <v>78</v>
      </c>
      <c r="AY361" s="87"/>
      <c r="AZ361" s="87"/>
      <c r="BA361" s="91" t="s">
        <v>1785</v>
      </c>
      <c r="BB361" s="84"/>
      <c r="BC361" s="85"/>
      <c r="BD361" s="85"/>
    </row>
    <row r="362" spans="1:56" s="86" customFormat="1" ht="46.5" customHeight="1">
      <c r="A362" s="78">
        <v>357</v>
      </c>
      <c r="B362" s="79" t="s">
        <v>1786</v>
      </c>
      <c r="C362" s="88">
        <v>45406</v>
      </c>
      <c r="D362" s="89">
        <v>0.54166666666666663</v>
      </c>
      <c r="E362" s="87" t="s">
        <v>58</v>
      </c>
      <c r="F362" s="87" t="s">
        <v>149</v>
      </c>
      <c r="G362" s="87" t="s">
        <v>95</v>
      </c>
      <c r="H362" s="90" t="s">
        <v>1787</v>
      </c>
      <c r="I362" s="90" t="s">
        <v>188</v>
      </c>
      <c r="J362" s="87" t="s">
        <v>70</v>
      </c>
      <c r="K362" s="87" t="s">
        <v>104</v>
      </c>
      <c r="L362" s="90" t="s">
        <v>1788</v>
      </c>
      <c r="M362" s="91" t="s">
        <v>1316</v>
      </c>
      <c r="N362" s="90" t="s">
        <v>1789</v>
      </c>
      <c r="O362" s="90" t="str">
        <f t="shared" si="37"/>
        <v>Teusaquillo</v>
      </c>
      <c r="P362" s="87" t="s">
        <v>665</v>
      </c>
      <c r="Q362" s="87"/>
      <c r="R362" s="87"/>
      <c r="S362" s="87"/>
      <c r="T362" s="87"/>
      <c r="U362" s="87"/>
      <c r="V362" s="90" t="str">
        <f t="shared" si="38"/>
        <v>Centro Ampliado</v>
      </c>
      <c r="W362" s="87" t="s">
        <v>415</v>
      </c>
      <c r="X362" s="87"/>
      <c r="Y362" s="87"/>
      <c r="Z362" s="87"/>
      <c r="AA362" s="87"/>
      <c r="AB362" s="87"/>
      <c r="AC362" s="90" t="str">
        <f t="shared" si="39"/>
        <v>Teusaquillo</v>
      </c>
      <c r="AD362" s="87" t="s">
        <v>665</v>
      </c>
      <c r="AE362" s="87"/>
      <c r="AF362" s="87"/>
      <c r="AG362" s="87"/>
      <c r="AH362" s="87"/>
      <c r="AI362" s="87"/>
      <c r="AJ362" s="87"/>
      <c r="AK362" s="87"/>
      <c r="AL362" s="87"/>
      <c r="AM362" s="87"/>
      <c r="AN362" s="90" t="s">
        <v>665</v>
      </c>
      <c r="AO362" s="92" t="s">
        <v>1790</v>
      </c>
      <c r="AP362" s="82"/>
      <c r="AQ362" s="87" t="s">
        <v>59</v>
      </c>
      <c r="AR362" s="87" t="s">
        <v>80</v>
      </c>
      <c r="AS362" s="82"/>
      <c r="AT362" s="87">
        <v>27</v>
      </c>
      <c r="AU362" s="87">
        <v>3</v>
      </c>
      <c r="AV362" s="87">
        <f t="shared" si="40"/>
        <v>30</v>
      </c>
      <c r="AW362" s="87" t="str">
        <f t="shared" si="36"/>
        <v>No Aplica</v>
      </c>
      <c r="AX362" s="87" t="s">
        <v>78</v>
      </c>
      <c r="AY362" s="87"/>
      <c r="AZ362" s="87"/>
      <c r="BA362" s="91" t="s">
        <v>1791</v>
      </c>
      <c r="BB362" s="84"/>
      <c r="BC362" s="85"/>
      <c r="BD362" s="85"/>
    </row>
    <row r="363" spans="1:56" s="86" customFormat="1" ht="46.5" customHeight="1">
      <c r="A363" s="87">
        <v>358</v>
      </c>
      <c r="B363" s="79" t="s">
        <v>1792</v>
      </c>
      <c r="C363" s="88">
        <v>45406</v>
      </c>
      <c r="D363" s="89">
        <v>0.625</v>
      </c>
      <c r="E363" s="87" t="s">
        <v>93</v>
      </c>
      <c r="F363" s="87" t="s">
        <v>102</v>
      </c>
      <c r="G363" s="87" t="s">
        <v>95</v>
      </c>
      <c r="H363" s="90" t="s">
        <v>1793</v>
      </c>
      <c r="I363" s="90" t="s">
        <v>64</v>
      </c>
      <c r="J363" s="87" t="s">
        <v>119</v>
      </c>
      <c r="K363" s="87" t="s">
        <v>129</v>
      </c>
      <c r="L363" s="90" t="s">
        <v>691</v>
      </c>
      <c r="M363" s="91" t="s">
        <v>1794</v>
      </c>
      <c r="N363" s="90" t="s">
        <v>692</v>
      </c>
      <c r="O363" s="90" t="str">
        <f t="shared" si="37"/>
        <v>Distrital</v>
      </c>
      <c r="P363" s="87" t="s">
        <v>73</v>
      </c>
      <c r="Q363" s="87"/>
      <c r="R363" s="87"/>
      <c r="S363" s="87"/>
      <c r="T363" s="87"/>
      <c r="U363" s="87"/>
      <c r="V363" s="90" t="str">
        <f t="shared" si="38"/>
        <v>Distrital</v>
      </c>
      <c r="W363" s="87" t="s">
        <v>73</v>
      </c>
      <c r="X363" s="87"/>
      <c r="Y363" s="87"/>
      <c r="Z363" s="87"/>
      <c r="AA363" s="87"/>
      <c r="AB363" s="87"/>
      <c r="AC363" s="90" t="str">
        <f t="shared" si="39"/>
        <v>Distrital</v>
      </c>
      <c r="AD363" s="87" t="s">
        <v>73</v>
      </c>
      <c r="AE363" s="87"/>
      <c r="AF363" s="87"/>
      <c r="AG363" s="87"/>
      <c r="AH363" s="87"/>
      <c r="AI363" s="87"/>
      <c r="AJ363" s="87"/>
      <c r="AK363" s="87"/>
      <c r="AL363" s="87"/>
      <c r="AM363" s="87"/>
      <c r="AN363" s="90" t="s">
        <v>160</v>
      </c>
      <c r="AO363" s="92" t="s">
        <v>1795</v>
      </c>
      <c r="AP363" s="82"/>
      <c r="AQ363" s="87" t="s">
        <v>59</v>
      </c>
      <c r="AR363" s="87" t="s">
        <v>80</v>
      </c>
      <c r="AS363" s="82"/>
      <c r="AT363" s="87">
        <v>11</v>
      </c>
      <c r="AU363" s="87">
        <v>1</v>
      </c>
      <c r="AV363" s="87">
        <f t="shared" si="40"/>
        <v>12</v>
      </c>
      <c r="AW363" s="87" t="str">
        <f t="shared" si="36"/>
        <v>No Aplica</v>
      </c>
      <c r="AX363" s="87" t="s">
        <v>78</v>
      </c>
      <c r="AY363" s="87"/>
      <c r="AZ363" s="87"/>
      <c r="BA363" s="91" t="s">
        <v>1796</v>
      </c>
      <c r="BB363" s="84"/>
      <c r="BC363" s="85"/>
      <c r="BD363" s="85"/>
    </row>
    <row r="364" spans="1:56" s="86" customFormat="1" ht="46.5" customHeight="1">
      <c r="A364" s="78">
        <v>359</v>
      </c>
      <c r="B364" s="79" t="s">
        <v>1797</v>
      </c>
      <c r="C364" s="88">
        <v>45406</v>
      </c>
      <c r="D364" s="89">
        <v>0.625</v>
      </c>
      <c r="E364" s="87" t="s">
        <v>58</v>
      </c>
      <c r="F364" s="87" t="s">
        <v>61</v>
      </c>
      <c r="G364" s="87" t="s">
        <v>62</v>
      </c>
      <c r="H364" s="90" t="s">
        <v>1798</v>
      </c>
      <c r="I364" s="90" t="s">
        <v>64</v>
      </c>
      <c r="J364" s="87" t="s">
        <v>119</v>
      </c>
      <c r="K364" s="87" t="s">
        <v>209</v>
      </c>
      <c r="L364" s="90" t="s">
        <v>1799</v>
      </c>
      <c r="M364" s="91">
        <v>3112347666</v>
      </c>
      <c r="N364" s="90" t="s">
        <v>1800</v>
      </c>
      <c r="O364" s="90" t="str">
        <f t="shared" si="37"/>
        <v>Rafael Uribe Uribe</v>
      </c>
      <c r="P364" s="87" t="s">
        <v>414</v>
      </c>
      <c r="Q364" s="87"/>
      <c r="R364" s="87"/>
      <c r="S364" s="87"/>
      <c r="T364" s="87"/>
      <c r="U364" s="87"/>
      <c r="V364" s="90" t="str">
        <f t="shared" si="38"/>
        <v>Centro Ampliado, Suroriente</v>
      </c>
      <c r="W364" s="87" t="s">
        <v>415</v>
      </c>
      <c r="X364" s="87" t="s">
        <v>108</v>
      </c>
      <c r="Y364" s="87"/>
      <c r="Z364" s="87"/>
      <c r="AA364" s="87"/>
      <c r="AB364" s="87"/>
      <c r="AC364" s="90" t="str">
        <f t="shared" si="39"/>
        <v>Restrepo, Rafael Uribe, San Cristobal</v>
      </c>
      <c r="AD364" s="87" t="s">
        <v>416</v>
      </c>
      <c r="AE364" s="87" t="s">
        <v>467</v>
      </c>
      <c r="AF364" s="87" t="s">
        <v>371</v>
      </c>
      <c r="AG364" s="87"/>
      <c r="AH364" s="87"/>
      <c r="AI364" s="87"/>
      <c r="AJ364" s="87"/>
      <c r="AK364" s="87"/>
      <c r="AL364" s="87"/>
      <c r="AM364" s="87"/>
      <c r="AN364" s="90" t="s">
        <v>1801</v>
      </c>
      <c r="AO364" s="90" t="s">
        <v>1802</v>
      </c>
      <c r="AP364" s="82"/>
      <c r="AQ364" s="87" t="s">
        <v>59</v>
      </c>
      <c r="AR364" s="87" t="s">
        <v>80</v>
      </c>
      <c r="AS364" s="82"/>
      <c r="AT364" s="87">
        <v>12</v>
      </c>
      <c r="AU364" s="87">
        <v>1</v>
      </c>
      <c r="AV364" s="87">
        <f t="shared" si="40"/>
        <v>13</v>
      </c>
      <c r="AW364" s="87" t="str">
        <f t="shared" si="36"/>
        <v>No Aplica</v>
      </c>
      <c r="AX364" s="87" t="s">
        <v>78</v>
      </c>
      <c r="AY364" s="87"/>
      <c r="AZ364" s="87"/>
      <c r="BA364" s="91" t="s">
        <v>1803</v>
      </c>
      <c r="BB364" s="84"/>
      <c r="BC364" s="85"/>
      <c r="BD364" s="85"/>
    </row>
    <row r="365" spans="1:56" s="86" customFormat="1" ht="46.5" customHeight="1">
      <c r="A365" s="87">
        <v>360</v>
      </c>
      <c r="B365" s="79" t="s">
        <v>1804</v>
      </c>
      <c r="C365" s="88">
        <v>45406</v>
      </c>
      <c r="D365" s="89">
        <v>0.79166666666666663</v>
      </c>
      <c r="E365" s="87" t="s">
        <v>93</v>
      </c>
      <c r="F365" s="87" t="s">
        <v>102</v>
      </c>
      <c r="G365" s="87" t="s">
        <v>95</v>
      </c>
      <c r="H365" s="90" t="s">
        <v>1805</v>
      </c>
      <c r="I365" s="90" t="s">
        <v>118</v>
      </c>
      <c r="J365" s="87" t="s">
        <v>119</v>
      </c>
      <c r="K365" s="87" t="s">
        <v>129</v>
      </c>
      <c r="L365" s="90" t="s">
        <v>905</v>
      </c>
      <c r="M365" s="91">
        <v>3212029774</v>
      </c>
      <c r="N365" s="90" t="s">
        <v>906</v>
      </c>
      <c r="O365" s="90" t="str">
        <f t="shared" si="37"/>
        <v>Distrital</v>
      </c>
      <c r="P365" s="87" t="s">
        <v>73</v>
      </c>
      <c r="Q365" s="87"/>
      <c r="R365" s="87"/>
      <c r="S365" s="87"/>
      <c r="T365" s="87"/>
      <c r="U365" s="87"/>
      <c r="V365" s="90" t="str">
        <f t="shared" si="38"/>
        <v>Distrital</v>
      </c>
      <c r="W365" s="87" t="s">
        <v>73</v>
      </c>
      <c r="X365" s="87"/>
      <c r="Y365" s="87"/>
      <c r="Z365" s="87"/>
      <c r="AA365" s="87"/>
      <c r="AB365" s="87"/>
      <c r="AC365" s="90" t="str">
        <f t="shared" si="39"/>
        <v>Distrital</v>
      </c>
      <c r="AD365" s="87" t="s">
        <v>73</v>
      </c>
      <c r="AE365" s="87"/>
      <c r="AF365" s="87"/>
      <c r="AG365" s="87"/>
      <c r="AH365" s="87"/>
      <c r="AI365" s="87"/>
      <c r="AJ365" s="87"/>
      <c r="AK365" s="87"/>
      <c r="AL365" s="87"/>
      <c r="AM365" s="87"/>
      <c r="AN365" s="90" t="s">
        <v>160</v>
      </c>
      <c r="AO365" s="92" t="s">
        <v>1806</v>
      </c>
      <c r="AP365" s="82"/>
      <c r="AQ365" s="87" t="s">
        <v>59</v>
      </c>
      <c r="AR365" s="87" t="s">
        <v>80</v>
      </c>
      <c r="AS365" s="82"/>
      <c r="AT365" s="87">
        <v>31</v>
      </c>
      <c r="AU365" s="87">
        <v>1</v>
      </c>
      <c r="AV365" s="87">
        <f t="shared" si="40"/>
        <v>32</v>
      </c>
      <c r="AW365" s="87" t="str">
        <f t="shared" si="36"/>
        <v>No Aplica</v>
      </c>
      <c r="AX365" s="87" t="s">
        <v>78</v>
      </c>
      <c r="AY365" s="87"/>
      <c r="AZ365" s="87"/>
      <c r="BA365" s="91" t="s">
        <v>1807</v>
      </c>
      <c r="BB365" s="84"/>
      <c r="BC365" s="85"/>
      <c r="BD365" s="85"/>
    </row>
    <row r="366" spans="1:56" s="86" customFormat="1" ht="46.5" customHeight="1">
      <c r="A366" s="78">
        <v>361</v>
      </c>
      <c r="B366" s="79" t="s">
        <v>1808</v>
      </c>
      <c r="C366" s="88">
        <v>45407</v>
      </c>
      <c r="D366" s="89">
        <v>0.35416666666666669</v>
      </c>
      <c r="E366" s="87" t="s">
        <v>58</v>
      </c>
      <c r="F366" s="87" t="s">
        <v>321</v>
      </c>
      <c r="G366" s="87" t="s">
        <v>95</v>
      </c>
      <c r="H366" s="90" t="s">
        <v>1809</v>
      </c>
      <c r="I366" s="90" t="s">
        <v>64</v>
      </c>
      <c r="J366" s="87" t="s">
        <v>70</v>
      </c>
      <c r="K366" s="87" t="s">
        <v>1810</v>
      </c>
      <c r="L366" s="90" t="s">
        <v>1811</v>
      </c>
      <c r="M366" s="91" t="s">
        <v>1812</v>
      </c>
      <c r="N366" s="90" t="s">
        <v>486</v>
      </c>
      <c r="O366" s="90" t="str">
        <f t="shared" si="37"/>
        <v>La Candelaria</v>
      </c>
      <c r="P366" s="87" t="s">
        <v>487</v>
      </c>
      <c r="Q366" s="87"/>
      <c r="R366" s="87"/>
      <c r="S366" s="87"/>
      <c r="T366" s="87"/>
      <c r="U366" s="87"/>
      <c r="V366" s="90" t="str">
        <f t="shared" si="38"/>
        <v>Centro Ampliado</v>
      </c>
      <c r="W366" s="87" t="s">
        <v>415</v>
      </c>
      <c r="X366" s="87"/>
      <c r="Y366" s="87"/>
      <c r="Z366" s="87"/>
      <c r="AA366" s="87"/>
      <c r="AB366" s="87"/>
      <c r="AC366" s="90" t="str">
        <f t="shared" si="39"/>
        <v>Centro Histórico</v>
      </c>
      <c r="AD366" s="87" t="s">
        <v>488</v>
      </c>
      <c r="AE366" s="87"/>
      <c r="AF366" s="87"/>
      <c r="AG366" s="87"/>
      <c r="AH366" s="87"/>
      <c r="AI366" s="87"/>
      <c r="AJ366" s="87"/>
      <c r="AK366" s="87"/>
      <c r="AL366" s="87"/>
      <c r="AM366" s="87"/>
      <c r="AN366" s="90" t="s">
        <v>160</v>
      </c>
      <c r="AO366" s="92" t="s">
        <v>1813</v>
      </c>
      <c r="AP366" s="82"/>
      <c r="AQ366" s="87" t="s">
        <v>59</v>
      </c>
      <c r="AR366" s="87" t="s">
        <v>80</v>
      </c>
      <c r="AS366" s="82"/>
      <c r="AT366" s="87">
        <v>28</v>
      </c>
      <c r="AU366" s="87">
        <v>1</v>
      </c>
      <c r="AV366" s="87">
        <f t="shared" si="40"/>
        <v>29</v>
      </c>
      <c r="AW366" s="87" t="str">
        <f t="shared" si="36"/>
        <v>No Aplica</v>
      </c>
      <c r="AX366" s="87" t="s">
        <v>78</v>
      </c>
      <c r="AY366" s="87"/>
      <c r="AZ366" s="87"/>
      <c r="BA366" s="91" t="s">
        <v>1814</v>
      </c>
      <c r="BB366" s="84"/>
      <c r="BC366" s="85"/>
      <c r="BD366" s="85"/>
    </row>
    <row r="367" spans="1:56" s="86" customFormat="1" ht="46.5" customHeight="1">
      <c r="A367" s="87">
        <v>362</v>
      </c>
      <c r="B367" s="79" t="s">
        <v>1815</v>
      </c>
      <c r="C367" s="88">
        <v>45407</v>
      </c>
      <c r="D367" s="89">
        <v>0.375</v>
      </c>
      <c r="E367" s="87" t="s">
        <v>58</v>
      </c>
      <c r="F367" s="87" t="s">
        <v>61</v>
      </c>
      <c r="G367" s="87" t="s">
        <v>62</v>
      </c>
      <c r="H367" s="90" t="s">
        <v>1737</v>
      </c>
      <c r="I367" s="90" t="s">
        <v>172</v>
      </c>
      <c r="J367" s="87" t="s">
        <v>70</v>
      </c>
      <c r="K367" s="87" t="s">
        <v>300</v>
      </c>
      <c r="L367" s="90" t="s">
        <v>72</v>
      </c>
      <c r="M367" s="91" t="s">
        <v>72</v>
      </c>
      <c r="N367" s="90" t="s">
        <v>72</v>
      </c>
      <c r="O367" s="90" t="str">
        <f t="shared" si="37"/>
        <v>Distrital</v>
      </c>
      <c r="P367" s="87" t="s">
        <v>73</v>
      </c>
      <c r="Q367" s="87"/>
      <c r="R367" s="87"/>
      <c r="S367" s="87"/>
      <c r="T367" s="87"/>
      <c r="U367" s="87"/>
      <c r="V367" s="90" t="str">
        <f t="shared" si="38"/>
        <v>Distrital</v>
      </c>
      <c r="W367" s="87" t="s">
        <v>73</v>
      </c>
      <c r="X367" s="87"/>
      <c r="Y367" s="87"/>
      <c r="Z367" s="87"/>
      <c r="AA367" s="87"/>
      <c r="AB367" s="87"/>
      <c r="AC367" s="90" t="str">
        <f t="shared" si="39"/>
        <v>Distrital</v>
      </c>
      <c r="AD367" s="87" t="s">
        <v>73</v>
      </c>
      <c r="AE367" s="87"/>
      <c r="AF367" s="87"/>
      <c r="AG367" s="87"/>
      <c r="AH367" s="87"/>
      <c r="AI367" s="87"/>
      <c r="AJ367" s="87"/>
      <c r="AK367" s="87"/>
      <c r="AL367" s="87"/>
      <c r="AM367" s="87"/>
      <c r="AN367" s="90" t="s">
        <v>160</v>
      </c>
      <c r="AO367" s="90" t="s">
        <v>1740</v>
      </c>
      <c r="AP367" s="82"/>
      <c r="AQ367" s="87" t="s">
        <v>60</v>
      </c>
      <c r="AR367" s="87" t="s">
        <v>1741</v>
      </c>
      <c r="AS367" s="82"/>
      <c r="AT367" s="87">
        <v>7</v>
      </c>
      <c r="AU367" s="87">
        <v>3</v>
      </c>
      <c r="AV367" s="87">
        <f t="shared" si="40"/>
        <v>10</v>
      </c>
      <c r="AW367" s="87" t="str">
        <f t="shared" ref="AW367:AW430" si="41">_xlfn.TEXTJOIN(", ",TRUE,$AX367:$AZ367)</f>
        <v>Horarios Acordes</v>
      </c>
      <c r="AX367" s="87" t="s">
        <v>213</v>
      </c>
      <c r="AY367" s="87"/>
      <c r="AZ367" s="87"/>
      <c r="BA367" s="91" t="s">
        <v>1816</v>
      </c>
      <c r="BB367" s="84"/>
      <c r="BC367" s="85"/>
      <c r="BD367" s="85"/>
    </row>
    <row r="368" spans="1:56" s="86" customFormat="1" ht="46.5" customHeight="1">
      <c r="A368" s="78">
        <v>363</v>
      </c>
      <c r="B368" s="79" t="s">
        <v>1817</v>
      </c>
      <c r="C368" s="88">
        <v>45407</v>
      </c>
      <c r="D368" s="89">
        <v>0.58333333333333337</v>
      </c>
      <c r="E368" s="87" t="s">
        <v>93</v>
      </c>
      <c r="F368" s="87" t="s">
        <v>1818</v>
      </c>
      <c r="G368" s="87" t="s">
        <v>62</v>
      </c>
      <c r="H368" s="90" t="s">
        <v>1819</v>
      </c>
      <c r="I368" s="90" t="s">
        <v>64</v>
      </c>
      <c r="J368" s="87" t="s">
        <v>119</v>
      </c>
      <c r="K368" s="87" t="s">
        <v>209</v>
      </c>
      <c r="L368" s="90" t="s">
        <v>1820</v>
      </c>
      <c r="M368" s="91" t="s">
        <v>72</v>
      </c>
      <c r="N368" s="90" t="s">
        <v>72</v>
      </c>
      <c r="O368" s="90" t="str">
        <f t="shared" si="37"/>
        <v>Distrital</v>
      </c>
      <c r="P368" s="87" t="s">
        <v>73</v>
      </c>
      <c r="Q368" s="87"/>
      <c r="R368" s="87"/>
      <c r="S368" s="87"/>
      <c r="T368" s="87"/>
      <c r="U368" s="87"/>
      <c r="V368" s="90" t="str">
        <f t="shared" si="38"/>
        <v>Distrital</v>
      </c>
      <c r="W368" s="87" t="s">
        <v>73</v>
      </c>
      <c r="X368" s="87"/>
      <c r="Y368" s="87"/>
      <c r="Z368" s="87"/>
      <c r="AA368" s="87"/>
      <c r="AB368" s="87"/>
      <c r="AC368" s="90" t="str">
        <f t="shared" si="39"/>
        <v>Distrital</v>
      </c>
      <c r="AD368" s="87" t="s">
        <v>73</v>
      </c>
      <c r="AE368" s="87"/>
      <c r="AF368" s="87"/>
      <c r="AG368" s="87"/>
      <c r="AH368" s="87"/>
      <c r="AI368" s="87"/>
      <c r="AJ368" s="87"/>
      <c r="AK368" s="87"/>
      <c r="AL368" s="87"/>
      <c r="AM368" s="87"/>
      <c r="AN368" s="90" t="s">
        <v>160</v>
      </c>
      <c r="AO368" s="90" t="s">
        <v>1821</v>
      </c>
      <c r="AP368" s="82"/>
      <c r="AQ368" s="87" t="s">
        <v>59</v>
      </c>
      <c r="AR368" s="87" t="s">
        <v>80</v>
      </c>
      <c r="AS368" s="82"/>
      <c r="AT368" s="87">
        <v>21</v>
      </c>
      <c r="AU368" s="87">
        <v>1</v>
      </c>
      <c r="AV368" s="87">
        <f t="shared" si="40"/>
        <v>22</v>
      </c>
      <c r="AW368" s="87" t="str">
        <f t="shared" si="41"/>
        <v>No Aplica</v>
      </c>
      <c r="AX368" s="87" t="s">
        <v>78</v>
      </c>
      <c r="AY368" s="87"/>
      <c r="AZ368" s="87"/>
      <c r="BA368" s="91" t="s">
        <v>1822</v>
      </c>
      <c r="BB368" s="84"/>
      <c r="BC368" s="85"/>
      <c r="BD368" s="85"/>
    </row>
    <row r="369" spans="1:56" s="86" customFormat="1" ht="46.5" customHeight="1">
      <c r="A369" s="87">
        <v>364</v>
      </c>
      <c r="B369" s="79" t="s">
        <v>1823</v>
      </c>
      <c r="C369" s="88">
        <v>45407</v>
      </c>
      <c r="D369" s="89">
        <v>0.45833333333333331</v>
      </c>
      <c r="E369" s="87" t="s">
        <v>93</v>
      </c>
      <c r="F369" s="87" t="s">
        <v>102</v>
      </c>
      <c r="G369" s="87" t="s">
        <v>95</v>
      </c>
      <c r="H369" s="90" t="s">
        <v>1824</v>
      </c>
      <c r="I369" s="90" t="s">
        <v>172</v>
      </c>
      <c r="J369" s="87" t="s">
        <v>119</v>
      </c>
      <c r="K369" s="87" t="s">
        <v>129</v>
      </c>
      <c r="L369" s="90" t="s">
        <v>232</v>
      </c>
      <c r="M369" s="91">
        <v>3004458788</v>
      </c>
      <c r="N369" s="90" t="s">
        <v>233</v>
      </c>
      <c r="O369" s="90" t="str">
        <f t="shared" si="37"/>
        <v>Distrital</v>
      </c>
      <c r="P369" s="87" t="s">
        <v>73</v>
      </c>
      <c r="Q369" s="87"/>
      <c r="R369" s="87"/>
      <c r="S369" s="87"/>
      <c r="T369" s="87"/>
      <c r="U369" s="87"/>
      <c r="V369" s="90" t="str">
        <f t="shared" si="38"/>
        <v>Distrital</v>
      </c>
      <c r="W369" s="87" t="s">
        <v>73</v>
      </c>
      <c r="X369" s="87"/>
      <c r="Y369" s="87"/>
      <c r="Z369" s="87"/>
      <c r="AA369" s="87"/>
      <c r="AB369" s="87"/>
      <c r="AC369" s="90" t="str">
        <f t="shared" si="39"/>
        <v>Distrital</v>
      </c>
      <c r="AD369" s="87" t="s">
        <v>73</v>
      </c>
      <c r="AE369" s="87"/>
      <c r="AF369" s="87"/>
      <c r="AG369" s="87"/>
      <c r="AH369" s="87"/>
      <c r="AI369" s="87"/>
      <c r="AJ369" s="87"/>
      <c r="AK369" s="87"/>
      <c r="AL369" s="87"/>
      <c r="AM369" s="87"/>
      <c r="AN369" s="90" t="s">
        <v>160</v>
      </c>
      <c r="AO369" s="92" t="s">
        <v>1825</v>
      </c>
      <c r="AP369" s="82"/>
      <c r="AQ369" s="87" t="s">
        <v>59</v>
      </c>
      <c r="AR369" s="87" t="s">
        <v>80</v>
      </c>
      <c r="AS369" s="82"/>
      <c r="AT369" s="87">
        <v>3</v>
      </c>
      <c r="AU369" s="87">
        <v>2</v>
      </c>
      <c r="AV369" s="87">
        <f t="shared" si="40"/>
        <v>5</v>
      </c>
      <c r="AW369" s="87" t="str">
        <f t="shared" si="41"/>
        <v>No Aplica</v>
      </c>
      <c r="AX369" s="87" t="s">
        <v>78</v>
      </c>
      <c r="AY369" s="87"/>
      <c r="AZ369" s="87"/>
      <c r="BA369" s="91" t="s">
        <v>1826</v>
      </c>
      <c r="BB369" s="84"/>
      <c r="BC369" s="85"/>
      <c r="BD369" s="85"/>
    </row>
    <row r="370" spans="1:56" s="86" customFormat="1" ht="46.5" customHeight="1">
      <c r="A370" s="78">
        <v>365</v>
      </c>
      <c r="B370" s="79" t="s">
        <v>1827</v>
      </c>
      <c r="C370" s="88">
        <v>45407</v>
      </c>
      <c r="D370" s="89">
        <v>0.70833333333575865</v>
      </c>
      <c r="E370" s="87" t="s">
        <v>93</v>
      </c>
      <c r="F370" s="87" t="s">
        <v>102</v>
      </c>
      <c r="G370" s="87" t="s">
        <v>95</v>
      </c>
      <c r="H370" s="90" t="s">
        <v>1828</v>
      </c>
      <c r="I370" s="90" t="s">
        <v>118</v>
      </c>
      <c r="J370" s="87" t="s">
        <v>119</v>
      </c>
      <c r="K370" s="87" t="s">
        <v>129</v>
      </c>
      <c r="L370" s="90" t="s">
        <v>1009</v>
      </c>
      <c r="M370" s="91">
        <v>3188799909</v>
      </c>
      <c r="N370" s="90" t="s">
        <v>1351</v>
      </c>
      <c r="O370" s="90" t="str">
        <f t="shared" si="37"/>
        <v>Distrital</v>
      </c>
      <c r="P370" s="87" t="s">
        <v>73</v>
      </c>
      <c r="Q370" s="87"/>
      <c r="R370" s="87"/>
      <c r="S370" s="87"/>
      <c r="T370" s="87"/>
      <c r="U370" s="87"/>
      <c r="V370" s="90" t="str">
        <f t="shared" si="38"/>
        <v>Distrital</v>
      </c>
      <c r="W370" s="87" t="s">
        <v>73</v>
      </c>
      <c r="X370" s="87"/>
      <c r="Y370" s="87"/>
      <c r="Z370" s="87"/>
      <c r="AA370" s="87"/>
      <c r="AB370" s="87"/>
      <c r="AC370" s="90" t="str">
        <f t="shared" si="39"/>
        <v>Distrital</v>
      </c>
      <c r="AD370" s="87" t="s">
        <v>73</v>
      </c>
      <c r="AE370" s="87"/>
      <c r="AF370" s="87"/>
      <c r="AG370" s="87"/>
      <c r="AH370" s="87"/>
      <c r="AI370" s="87"/>
      <c r="AJ370" s="87"/>
      <c r="AK370" s="87"/>
      <c r="AL370" s="87"/>
      <c r="AM370" s="87"/>
      <c r="AN370" s="90" t="s">
        <v>160</v>
      </c>
      <c r="AO370" s="92" t="s">
        <v>1829</v>
      </c>
      <c r="AP370" s="82"/>
      <c r="AQ370" s="87" t="s">
        <v>59</v>
      </c>
      <c r="AR370" s="87" t="s">
        <v>80</v>
      </c>
      <c r="AS370" s="82"/>
      <c r="AT370" s="87">
        <v>66</v>
      </c>
      <c r="AU370" s="87">
        <v>3</v>
      </c>
      <c r="AV370" s="87">
        <f t="shared" si="40"/>
        <v>69</v>
      </c>
      <c r="AW370" s="87" t="str">
        <f t="shared" si="41"/>
        <v>No Aplica</v>
      </c>
      <c r="AX370" s="87" t="s">
        <v>78</v>
      </c>
      <c r="AY370" s="87"/>
      <c r="AZ370" s="87"/>
      <c r="BA370" s="91" t="s">
        <v>1830</v>
      </c>
      <c r="BB370" s="84"/>
      <c r="BC370" s="85"/>
      <c r="BD370" s="85"/>
    </row>
    <row r="371" spans="1:56" s="86" customFormat="1" ht="46.5" customHeight="1">
      <c r="A371" s="87">
        <v>366</v>
      </c>
      <c r="B371" s="79" t="s">
        <v>1831</v>
      </c>
      <c r="C371" s="88">
        <v>45408</v>
      </c>
      <c r="D371" s="89">
        <v>0.33333333333333331</v>
      </c>
      <c r="E371" s="87" t="s">
        <v>58</v>
      </c>
      <c r="F371" s="87" t="s">
        <v>61</v>
      </c>
      <c r="G371" s="87" t="s">
        <v>62</v>
      </c>
      <c r="H371" s="90" t="s">
        <v>1832</v>
      </c>
      <c r="I371" s="90" t="s">
        <v>172</v>
      </c>
      <c r="J371" s="87" t="s">
        <v>173</v>
      </c>
      <c r="K371" s="87"/>
      <c r="L371" s="90" t="s">
        <v>1833</v>
      </c>
      <c r="M371" s="91" t="s">
        <v>72</v>
      </c>
      <c r="N371" s="90" t="s">
        <v>72</v>
      </c>
      <c r="O371" s="90" t="str">
        <f t="shared" si="37"/>
        <v>Distrital</v>
      </c>
      <c r="P371" s="87" t="s">
        <v>73</v>
      </c>
      <c r="Q371" s="87"/>
      <c r="R371" s="87"/>
      <c r="S371" s="87"/>
      <c r="T371" s="87"/>
      <c r="U371" s="87"/>
      <c r="V371" s="90" t="str">
        <f t="shared" si="38"/>
        <v>Distrital</v>
      </c>
      <c r="W371" s="87" t="s">
        <v>73</v>
      </c>
      <c r="X371" s="87"/>
      <c r="Y371" s="87"/>
      <c r="Z371" s="87"/>
      <c r="AA371" s="87"/>
      <c r="AB371" s="87"/>
      <c r="AC371" s="90" t="str">
        <f t="shared" si="39"/>
        <v>Distrital</v>
      </c>
      <c r="AD371" s="87" t="s">
        <v>73</v>
      </c>
      <c r="AE371" s="87"/>
      <c r="AF371" s="87"/>
      <c r="AG371" s="87"/>
      <c r="AH371" s="87"/>
      <c r="AI371" s="87"/>
      <c r="AJ371" s="87"/>
      <c r="AK371" s="87"/>
      <c r="AL371" s="87"/>
      <c r="AM371" s="87"/>
      <c r="AN371" s="90" t="s">
        <v>160</v>
      </c>
      <c r="AO371" s="90" t="s">
        <v>189</v>
      </c>
      <c r="AP371" s="82"/>
      <c r="AQ371" s="87" t="s">
        <v>60</v>
      </c>
      <c r="AR371" s="87" t="s">
        <v>77</v>
      </c>
      <c r="AS371" s="82"/>
      <c r="AT371" s="87">
        <v>50</v>
      </c>
      <c r="AU371" s="87">
        <v>5</v>
      </c>
      <c r="AV371" s="87">
        <f t="shared" si="40"/>
        <v>55</v>
      </c>
      <c r="AW371" s="87" t="str">
        <f t="shared" si="41"/>
        <v>No Aplica</v>
      </c>
      <c r="AX371" s="87" t="s">
        <v>78</v>
      </c>
      <c r="AY371" s="87"/>
      <c r="AZ371" s="87"/>
      <c r="BA371" s="91" t="s">
        <v>1834</v>
      </c>
      <c r="BB371" s="84"/>
      <c r="BC371" s="85"/>
      <c r="BD371" s="85"/>
    </row>
    <row r="372" spans="1:56" s="86" customFormat="1" ht="46.5" customHeight="1">
      <c r="A372" s="78">
        <v>367</v>
      </c>
      <c r="B372" s="79" t="s">
        <v>1835</v>
      </c>
      <c r="C372" s="88">
        <v>45408</v>
      </c>
      <c r="D372" s="89">
        <v>0.375</v>
      </c>
      <c r="E372" s="87" t="s">
        <v>58</v>
      </c>
      <c r="F372" s="87" t="s">
        <v>61</v>
      </c>
      <c r="G372" s="87" t="s">
        <v>62</v>
      </c>
      <c r="H372" s="90" t="s">
        <v>1737</v>
      </c>
      <c r="I372" s="90" t="s">
        <v>172</v>
      </c>
      <c r="J372" s="87" t="s">
        <v>70</v>
      </c>
      <c r="K372" s="87" t="s">
        <v>300</v>
      </c>
      <c r="L372" s="90" t="s">
        <v>1836</v>
      </c>
      <c r="M372" s="91">
        <v>3105844361</v>
      </c>
      <c r="N372" s="90" t="s">
        <v>1837</v>
      </c>
      <c r="O372" s="90" t="str">
        <f t="shared" si="37"/>
        <v>Distrital</v>
      </c>
      <c r="P372" s="87" t="s">
        <v>73</v>
      </c>
      <c r="Q372" s="87"/>
      <c r="R372" s="87"/>
      <c r="S372" s="87"/>
      <c r="T372" s="87"/>
      <c r="U372" s="87"/>
      <c r="V372" s="90" t="str">
        <f t="shared" si="38"/>
        <v>Distrital</v>
      </c>
      <c r="W372" s="87" t="s">
        <v>73</v>
      </c>
      <c r="X372" s="87"/>
      <c r="Y372" s="87"/>
      <c r="Z372" s="87"/>
      <c r="AA372" s="87"/>
      <c r="AB372" s="87"/>
      <c r="AC372" s="90" t="str">
        <f t="shared" si="39"/>
        <v>Distrital</v>
      </c>
      <c r="AD372" s="87" t="s">
        <v>73</v>
      </c>
      <c r="AE372" s="87"/>
      <c r="AF372" s="87"/>
      <c r="AG372" s="87"/>
      <c r="AH372" s="87"/>
      <c r="AI372" s="87"/>
      <c r="AJ372" s="87"/>
      <c r="AK372" s="87"/>
      <c r="AL372" s="87"/>
      <c r="AM372" s="87"/>
      <c r="AN372" s="90" t="s">
        <v>160</v>
      </c>
      <c r="AO372" s="90" t="s">
        <v>1740</v>
      </c>
      <c r="AP372" s="82"/>
      <c r="AQ372" s="87" t="s">
        <v>60</v>
      </c>
      <c r="AR372" s="87" t="s">
        <v>1741</v>
      </c>
      <c r="AS372" s="82"/>
      <c r="AT372" s="87">
        <v>23</v>
      </c>
      <c r="AU372" s="87">
        <v>4</v>
      </c>
      <c r="AV372" s="87">
        <f t="shared" si="40"/>
        <v>27</v>
      </c>
      <c r="AW372" s="87" t="str">
        <f t="shared" si="41"/>
        <v>Accesibilidad Universal, Horarios Acordes</v>
      </c>
      <c r="AX372" s="87" t="s">
        <v>246</v>
      </c>
      <c r="AY372" s="87" t="s">
        <v>213</v>
      </c>
      <c r="AZ372" s="87"/>
      <c r="BA372" s="91" t="s">
        <v>1737</v>
      </c>
      <c r="BB372" s="84"/>
      <c r="BC372" s="85"/>
      <c r="BD372" s="85"/>
    </row>
    <row r="373" spans="1:56" s="86" customFormat="1" ht="46.5" customHeight="1">
      <c r="A373" s="87">
        <v>368</v>
      </c>
      <c r="B373" s="79" t="s">
        <v>1838</v>
      </c>
      <c r="C373" s="88">
        <v>45408</v>
      </c>
      <c r="D373" s="89">
        <v>0.54166666666666663</v>
      </c>
      <c r="E373" s="87" t="s">
        <v>58</v>
      </c>
      <c r="F373" s="87" t="s">
        <v>149</v>
      </c>
      <c r="G373" s="87" t="s">
        <v>95</v>
      </c>
      <c r="H373" s="90" t="s">
        <v>1839</v>
      </c>
      <c r="I373" s="90" t="s">
        <v>188</v>
      </c>
      <c r="J373" s="87" t="s">
        <v>173</v>
      </c>
      <c r="K373" s="87"/>
      <c r="L373" s="90" t="s">
        <v>1840</v>
      </c>
      <c r="M373" s="91" t="s">
        <v>1841</v>
      </c>
      <c r="N373" s="90" t="s">
        <v>1789</v>
      </c>
      <c r="O373" s="90" t="str">
        <f t="shared" si="37"/>
        <v>Teusaquillo</v>
      </c>
      <c r="P373" s="87" t="s">
        <v>665</v>
      </c>
      <c r="Q373" s="87"/>
      <c r="R373" s="87"/>
      <c r="S373" s="87"/>
      <c r="T373" s="87"/>
      <c r="U373" s="87"/>
      <c r="V373" s="90" t="str">
        <f t="shared" si="38"/>
        <v>Centro Ampliado</v>
      </c>
      <c r="W373" s="87" t="s">
        <v>415</v>
      </c>
      <c r="X373" s="87"/>
      <c r="Y373" s="87"/>
      <c r="Z373" s="87"/>
      <c r="AA373" s="87"/>
      <c r="AB373" s="87"/>
      <c r="AC373" s="90" t="str">
        <f t="shared" si="39"/>
        <v>Teusaquillo</v>
      </c>
      <c r="AD373" s="87" t="s">
        <v>665</v>
      </c>
      <c r="AE373" s="87"/>
      <c r="AF373" s="87"/>
      <c r="AG373" s="87"/>
      <c r="AH373" s="87"/>
      <c r="AI373" s="87"/>
      <c r="AJ373" s="87"/>
      <c r="AK373" s="87"/>
      <c r="AL373" s="87"/>
      <c r="AM373" s="87"/>
      <c r="AN373" s="90" t="s">
        <v>665</v>
      </c>
      <c r="AO373" s="90" t="s">
        <v>1842</v>
      </c>
      <c r="AP373" s="82"/>
      <c r="AQ373" s="87" t="s">
        <v>59</v>
      </c>
      <c r="AR373" s="87" t="s">
        <v>80</v>
      </c>
      <c r="AS373" s="82"/>
      <c r="AT373" s="87">
        <v>9</v>
      </c>
      <c r="AU373" s="87">
        <v>3</v>
      </c>
      <c r="AV373" s="87">
        <f t="shared" si="40"/>
        <v>12</v>
      </c>
      <c r="AW373" s="87" t="str">
        <f t="shared" si="41"/>
        <v>No Aplica</v>
      </c>
      <c r="AX373" s="87" t="s">
        <v>78</v>
      </c>
      <c r="AY373" s="87"/>
      <c r="AZ373" s="87"/>
      <c r="BA373" s="91" t="s">
        <v>1843</v>
      </c>
      <c r="BB373" s="84"/>
      <c r="BC373" s="85"/>
      <c r="BD373" s="85"/>
    </row>
    <row r="374" spans="1:56" s="86" customFormat="1" ht="46.5" customHeight="1">
      <c r="A374" s="78">
        <v>369</v>
      </c>
      <c r="B374" s="79" t="s">
        <v>1844</v>
      </c>
      <c r="C374" s="88">
        <v>45409</v>
      </c>
      <c r="D374" s="89">
        <v>0.41666666666666669</v>
      </c>
      <c r="E374" s="87" t="s">
        <v>58</v>
      </c>
      <c r="F374" s="87" t="s">
        <v>1845</v>
      </c>
      <c r="G374" s="87" t="s">
        <v>62</v>
      </c>
      <c r="H374" s="90" t="s">
        <v>1846</v>
      </c>
      <c r="I374" s="90" t="s">
        <v>188</v>
      </c>
      <c r="J374" s="87" t="s">
        <v>173</v>
      </c>
      <c r="K374" s="96"/>
      <c r="L374" s="90" t="s">
        <v>1847</v>
      </c>
      <c r="M374" s="91">
        <v>3112565627</v>
      </c>
      <c r="N374" s="90" t="s">
        <v>1848</v>
      </c>
      <c r="O374" s="90" t="str">
        <f t="shared" si="37"/>
        <v>Ciudad Bolívar</v>
      </c>
      <c r="P374" s="87" t="s">
        <v>107</v>
      </c>
      <c r="Q374" s="87"/>
      <c r="R374" s="87"/>
      <c r="S374" s="87"/>
      <c r="T374" s="87"/>
      <c r="U374" s="87"/>
      <c r="V374" s="90" t="str">
        <f t="shared" si="38"/>
        <v>Suroriente</v>
      </c>
      <c r="W374" s="87" t="s">
        <v>108</v>
      </c>
      <c r="X374" s="96"/>
      <c r="Y374" s="96"/>
      <c r="Z374" s="96"/>
      <c r="AA374" s="96"/>
      <c r="AB374" s="96"/>
      <c r="AC374" s="90" t="str">
        <f t="shared" si="39"/>
        <v>Lucero, Arborizadora</v>
      </c>
      <c r="AD374" s="87" t="s">
        <v>111</v>
      </c>
      <c r="AE374" s="87" t="s">
        <v>110</v>
      </c>
      <c r="AF374" s="97"/>
      <c r="AG374" s="97"/>
      <c r="AH374" s="97"/>
      <c r="AI374" s="97"/>
      <c r="AJ374" s="97"/>
      <c r="AK374" s="97"/>
      <c r="AL374" s="97"/>
      <c r="AM374" s="97"/>
      <c r="AN374" s="90" t="s">
        <v>1849</v>
      </c>
      <c r="AO374" s="90" t="s">
        <v>1850</v>
      </c>
      <c r="AP374" s="98"/>
      <c r="AQ374" s="87" t="s">
        <v>59</v>
      </c>
      <c r="AR374" s="87" t="s">
        <v>80</v>
      </c>
      <c r="AS374" s="98"/>
      <c r="AT374" s="87">
        <v>5</v>
      </c>
      <c r="AU374" s="87">
        <v>4</v>
      </c>
      <c r="AV374" s="87">
        <f t="shared" si="40"/>
        <v>9</v>
      </c>
      <c r="AW374" s="87" t="str">
        <f t="shared" si="41"/>
        <v>No Aplica</v>
      </c>
      <c r="AX374" s="87" t="s">
        <v>78</v>
      </c>
      <c r="AY374" s="96"/>
      <c r="AZ374" s="96"/>
      <c r="BA374" s="91" t="s">
        <v>1851</v>
      </c>
      <c r="BB374" s="98"/>
      <c r="BC374" s="99"/>
      <c r="BD374" s="100"/>
    </row>
    <row r="375" spans="1:56" s="86" customFormat="1" ht="46.5" customHeight="1">
      <c r="A375" s="87">
        <v>370</v>
      </c>
      <c r="B375" s="79" t="s">
        <v>1852</v>
      </c>
      <c r="C375" s="88">
        <v>45411</v>
      </c>
      <c r="D375" s="89">
        <v>0.70833333333333337</v>
      </c>
      <c r="E375" s="87" t="s">
        <v>58</v>
      </c>
      <c r="F375" s="87" t="s">
        <v>1853</v>
      </c>
      <c r="G375" s="87" t="s">
        <v>95</v>
      </c>
      <c r="H375" s="90" t="s">
        <v>1854</v>
      </c>
      <c r="I375" s="90" t="s">
        <v>188</v>
      </c>
      <c r="J375" s="87" t="s">
        <v>119</v>
      </c>
      <c r="K375" s="87" t="s">
        <v>209</v>
      </c>
      <c r="L375" s="90" t="s">
        <v>1855</v>
      </c>
      <c r="M375" s="91" t="s">
        <v>1856</v>
      </c>
      <c r="N375" s="90" t="s">
        <v>1857</v>
      </c>
      <c r="O375" s="90" t="str">
        <f t="shared" si="37"/>
        <v>Distrital</v>
      </c>
      <c r="P375" s="87" t="s">
        <v>73</v>
      </c>
      <c r="Q375" s="87"/>
      <c r="R375" s="87"/>
      <c r="S375" s="87"/>
      <c r="T375" s="87"/>
      <c r="U375" s="87"/>
      <c r="V375" s="90" t="str">
        <f t="shared" si="38"/>
        <v>Distrital</v>
      </c>
      <c r="W375" s="87" t="s">
        <v>73</v>
      </c>
      <c r="X375" s="87"/>
      <c r="Y375" s="87"/>
      <c r="Z375" s="87"/>
      <c r="AA375" s="87"/>
      <c r="AB375" s="87"/>
      <c r="AC375" s="90" t="str">
        <f t="shared" si="39"/>
        <v>Distrital</v>
      </c>
      <c r="AD375" s="87" t="s">
        <v>73</v>
      </c>
      <c r="AE375" s="87"/>
      <c r="AF375" s="87"/>
      <c r="AG375" s="87"/>
      <c r="AH375" s="87"/>
      <c r="AI375" s="87"/>
      <c r="AJ375" s="87"/>
      <c r="AK375" s="87"/>
      <c r="AL375" s="87"/>
      <c r="AM375" s="87"/>
      <c r="AN375" s="90" t="s">
        <v>160</v>
      </c>
      <c r="AO375" s="92" t="s">
        <v>1858</v>
      </c>
      <c r="AP375" s="82"/>
      <c r="AQ375" s="87" t="s">
        <v>59</v>
      </c>
      <c r="AR375" s="87" t="s">
        <v>80</v>
      </c>
      <c r="AS375" s="82"/>
      <c r="AT375" s="87">
        <v>5</v>
      </c>
      <c r="AU375" s="87">
        <v>3</v>
      </c>
      <c r="AV375" s="87">
        <f t="shared" si="40"/>
        <v>8</v>
      </c>
      <c r="AW375" s="87" t="str">
        <f t="shared" si="41"/>
        <v>No Aplica</v>
      </c>
      <c r="AX375" s="87" t="s">
        <v>78</v>
      </c>
      <c r="AY375" s="87"/>
      <c r="AZ375" s="87"/>
      <c r="BA375" s="91" t="s">
        <v>1859</v>
      </c>
      <c r="BB375" s="84"/>
      <c r="BC375" s="85"/>
      <c r="BD375" s="85"/>
    </row>
    <row r="376" spans="1:56" s="86" customFormat="1" ht="46.5" customHeight="1">
      <c r="A376" s="78">
        <v>371</v>
      </c>
      <c r="B376" s="79" t="s">
        <v>1860</v>
      </c>
      <c r="C376" s="88">
        <v>45411</v>
      </c>
      <c r="D376" s="89">
        <v>0.70833333333333337</v>
      </c>
      <c r="E376" s="87" t="s">
        <v>93</v>
      </c>
      <c r="F376" s="87" t="s">
        <v>102</v>
      </c>
      <c r="G376" s="87" t="s">
        <v>95</v>
      </c>
      <c r="H376" s="90" t="s">
        <v>1861</v>
      </c>
      <c r="I376" s="90" t="s">
        <v>118</v>
      </c>
      <c r="J376" s="87" t="s">
        <v>119</v>
      </c>
      <c r="K376" s="87" t="s">
        <v>129</v>
      </c>
      <c r="L376" s="90" t="s">
        <v>1286</v>
      </c>
      <c r="M376" s="91">
        <v>3108148740</v>
      </c>
      <c r="N376" s="90" t="s">
        <v>439</v>
      </c>
      <c r="O376" s="90" t="str">
        <f t="shared" si="37"/>
        <v>Distrital</v>
      </c>
      <c r="P376" s="87" t="s">
        <v>73</v>
      </c>
      <c r="Q376" s="87"/>
      <c r="R376" s="87"/>
      <c r="S376" s="87"/>
      <c r="T376" s="87"/>
      <c r="U376" s="87"/>
      <c r="V376" s="90" t="str">
        <f t="shared" si="38"/>
        <v>Distrital</v>
      </c>
      <c r="W376" s="87" t="s">
        <v>73</v>
      </c>
      <c r="X376" s="87"/>
      <c r="Y376" s="87"/>
      <c r="Z376" s="87"/>
      <c r="AA376" s="87"/>
      <c r="AB376" s="87"/>
      <c r="AC376" s="90" t="str">
        <f t="shared" si="39"/>
        <v>Distrital</v>
      </c>
      <c r="AD376" s="87" t="s">
        <v>73</v>
      </c>
      <c r="AE376" s="87"/>
      <c r="AF376" s="87"/>
      <c r="AG376" s="87"/>
      <c r="AH376" s="87"/>
      <c r="AI376" s="87"/>
      <c r="AJ376" s="87"/>
      <c r="AK376" s="87"/>
      <c r="AL376" s="87"/>
      <c r="AM376" s="87"/>
      <c r="AN376" s="90" t="s">
        <v>160</v>
      </c>
      <c r="AO376" s="92" t="s">
        <v>1862</v>
      </c>
      <c r="AP376" s="82"/>
      <c r="AQ376" s="87" t="s">
        <v>59</v>
      </c>
      <c r="AR376" s="87" t="s">
        <v>80</v>
      </c>
      <c r="AS376" s="82"/>
      <c r="AT376" s="87">
        <v>77</v>
      </c>
      <c r="AU376" s="87">
        <v>1</v>
      </c>
      <c r="AV376" s="87">
        <f t="shared" si="40"/>
        <v>78</v>
      </c>
      <c r="AW376" s="87" t="str">
        <f t="shared" si="41"/>
        <v>No Aplica</v>
      </c>
      <c r="AX376" s="87" t="s">
        <v>78</v>
      </c>
      <c r="AY376" s="87"/>
      <c r="AZ376" s="87"/>
      <c r="BA376" s="91" t="s">
        <v>1863</v>
      </c>
      <c r="BB376" s="84"/>
      <c r="BC376" s="85"/>
      <c r="BD376" s="85"/>
    </row>
    <row r="377" spans="1:56" s="86" customFormat="1" ht="46.5" customHeight="1">
      <c r="A377" s="87">
        <v>372</v>
      </c>
      <c r="B377" s="79" t="s">
        <v>1864</v>
      </c>
      <c r="C377" s="88">
        <v>45412</v>
      </c>
      <c r="D377" s="89">
        <v>0.3125</v>
      </c>
      <c r="E377" s="87" t="s">
        <v>58</v>
      </c>
      <c r="F377" s="87" t="s">
        <v>135</v>
      </c>
      <c r="G377" s="87" t="s">
        <v>95</v>
      </c>
      <c r="H377" s="90" t="s">
        <v>1865</v>
      </c>
      <c r="I377" s="90" t="s">
        <v>64</v>
      </c>
      <c r="J377" s="87" t="s">
        <v>70</v>
      </c>
      <c r="K377" s="87" t="s">
        <v>71</v>
      </c>
      <c r="L377" s="90" t="s">
        <v>1866</v>
      </c>
      <c r="M377" s="91">
        <v>3144562545</v>
      </c>
      <c r="N377" s="90" t="s">
        <v>1867</v>
      </c>
      <c r="O377" s="90" t="str">
        <f t="shared" si="37"/>
        <v>Distrital</v>
      </c>
      <c r="P377" s="87" t="s">
        <v>73</v>
      </c>
      <c r="Q377" s="87"/>
      <c r="R377" s="87"/>
      <c r="S377" s="87"/>
      <c r="T377" s="87"/>
      <c r="U377" s="87"/>
      <c r="V377" s="90" t="str">
        <f t="shared" si="38"/>
        <v>Distrital</v>
      </c>
      <c r="W377" s="87" t="s">
        <v>73</v>
      </c>
      <c r="X377" s="87"/>
      <c r="Y377" s="87"/>
      <c r="Z377" s="87"/>
      <c r="AA377" s="87"/>
      <c r="AB377" s="87"/>
      <c r="AC377" s="90" t="str">
        <f t="shared" si="39"/>
        <v>Distrital</v>
      </c>
      <c r="AD377" s="87" t="s">
        <v>73</v>
      </c>
      <c r="AE377" s="87"/>
      <c r="AF377" s="87"/>
      <c r="AG377" s="87"/>
      <c r="AH377" s="87"/>
      <c r="AI377" s="87"/>
      <c r="AJ377" s="87"/>
      <c r="AK377" s="87"/>
      <c r="AL377" s="87"/>
      <c r="AM377" s="87"/>
      <c r="AN377" s="90" t="s">
        <v>160</v>
      </c>
      <c r="AO377" s="92" t="s">
        <v>1868</v>
      </c>
      <c r="AP377" s="82"/>
      <c r="AQ377" s="87" t="s">
        <v>59</v>
      </c>
      <c r="AR377" s="87" t="s">
        <v>80</v>
      </c>
      <c r="AS377" s="82"/>
      <c r="AT377" s="87">
        <v>0</v>
      </c>
      <c r="AU377" s="87">
        <v>4</v>
      </c>
      <c r="AV377" s="87">
        <f t="shared" si="40"/>
        <v>4</v>
      </c>
      <c r="AW377" s="87" t="str">
        <f t="shared" si="41"/>
        <v>No Aplica</v>
      </c>
      <c r="AX377" s="87" t="s">
        <v>78</v>
      </c>
      <c r="AY377" s="87"/>
      <c r="AZ377" s="87"/>
      <c r="BA377" s="91" t="s">
        <v>1869</v>
      </c>
      <c r="BB377" s="84"/>
      <c r="BC377" s="85"/>
      <c r="BD377" s="85"/>
    </row>
    <row r="378" spans="1:56" s="86" customFormat="1" ht="46.5" customHeight="1">
      <c r="A378" s="78">
        <v>373</v>
      </c>
      <c r="B378" s="79" t="s">
        <v>1870</v>
      </c>
      <c r="C378" s="88">
        <v>45412</v>
      </c>
      <c r="D378" s="89">
        <v>0.375</v>
      </c>
      <c r="E378" s="87" t="s">
        <v>58</v>
      </c>
      <c r="F378" s="87" t="s">
        <v>61</v>
      </c>
      <c r="G378" s="87" t="s">
        <v>62</v>
      </c>
      <c r="H378" s="90" t="s">
        <v>1737</v>
      </c>
      <c r="I378" s="90" t="s">
        <v>172</v>
      </c>
      <c r="J378" s="87" t="s">
        <v>70</v>
      </c>
      <c r="K378" s="87" t="s">
        <v>300</v>
      </c>
      <c r="L378" s="90" t="s">
        <v>72</v>
      </c>
      <c r="M378" s="91" t="s">
        <v>72</v>
      </c>
      <c r="N378" s="90" t="s">
        <v>72</v>
      </c>
      <c r="O378" s="90" t="str">
        <f t="shared" si="37"/>
        <v>Distrital</v>
      </c>
      <c r="P378" s="87" t="s">
        <v>73</v>
      </c>
      <c r="Q378" s="87"/>
      <c r="R378" s="87"/>
      <c r="S378" s="87"/>
      <c r="T378" s="87"/>
      <c r="U378" s="87"/>
      <c r="V378" s="90" t="str">
        <f t="shared" si="38"/>
        <v>Distrital</v>
      </c>
      <c r="W378" s="87" t="s">
        <v>73</v>
      </c>
      <c r="X378" s="87"/>
      <c r="Y378" s="87"/>
      <c r="Z378" s="87"/>
      <c r="AA378" s="87"/>
      <c r="AB378" s="87"/>
      <c r="AC378" s="90" t="str">
        <f t="shared" si="39"/>
        <v>Distrital</v>
      </c>
      <c r="AD378" s="87" t="s">
        <v>73</v>
      </c>
      <c r="AE378" s="87"/>
      <c r="AF378" s="87"/>
      <c r="AG378" s="87"/>
      <c r="AH378" s="87"/>
      <c r="AI378" s="87"/>
      <c r="AJ378" s="87"/>
      <c r="AK378" s="87"/>
      <c r="AL378" s="87"/>
      <c r="AM378" s="87"/>
      <c r="AN378" s="90" t="s">
        <v>1739</v>
      </c>
      <c r="AO378" s="90" t="s">
        <v>1740</v>
      </c>
      <c r="AP378" s="82"/>
      <c r="AQ378" s="87" t="s">
        <v>60</v>
      </c>
      <c r="AR378" s="87" t="s">
        <v>1741</v>
      </c>
      <c r="AS378" s="82"/>
      <c r="AT378" s="87">
        <v>17</v>
      </c>
      <c r="AU378" s="87">
        <v>4</v>
      </c>
      <c r="AV378" s="87">
        <f t="shared" si="40"/>
        <v>21</v>
      </c>
      <c r="AW378" s="87" t="str">
        <f t="shared" si="41"/>
        <v>Ninguna</v>
      </c>
      <c r="AX378" s="87" t="s">
        <v>75</v>
      </c>
      <c r="AY378" s="87"/>
      <c r="AZ378" s="87"/>
      <c r="BA378" s="91" t="s">
        <v>1871</v>
      </c>
      <c r="BB378" s="84"/>
      <c r="BC378" s="85"/>
      <c r="BD378" s="85"/>
    </row>
    <row r="379" spans="1:56" s="86" customFormat="1" ht="46.5" customHeight="1">
      <c r="A379" s="87">
        <v>374</v>
      </c>
      <c r="B379" s="79" t="s">
        <v>1872</v>
      </c>
      <c r="C379" s="88">
        <v>45412</v>
      </c>
      <c r="D379" s="89">
        <v>0.60416666666666663</v>
      </c>
      <c r="E379" s="87" t="s">
        <v>93</v>
      </c>
      <c r="F379" s="87" t="s">
        <v>321</v>
      </c>
      <c r="G379" s="87" t="s">
        <v>95</v>
      </c>
      <c r="H379" s="90" t="s">
        <v>1873</v>
      </c>
      <c r="I379" s="90" t="s">
        <v>64</v>
      </c>
      <c r="J379" s="87" t="s">
        <v>70</v>
      </c>
      <c r="K379" s="87" t="s">
        <v>1810</v>
      </c>
      <c r="L379" s="90" t="s">
        <v>1874</v>
      </c>
      <c r="M379" s="91">
        <v>3185272677</v>
      </c>
      <c r="N379" s="90" t="s">
        <v>333</v>
      </c>
      <c r="O379" s="90" t="str">
        <f t="shared" si="37"/>
        <v>Ciudad Bolívar</v>
      </c>
      <c r="P379" s="87" t="s">
        <v>107</v>
      </c>
      <c r="Q379" s="87"/>
      <c r="R379" s="87"/>
      <c r="S379" s="87"/>
      <c r="T379" s="87"/>
      <c r="U379" s="87"/>
      <c r="V379" s="90" t="str">
        <f t="shared" si="38"/>
        <v>Suroriente, Ruralidad</v>
      </c>
      <c r="W379" s="87" t="s">
        <v>108</v>
      </c>
      <c r="X379" s="87" t="s">
        <v>109</v>
      </c>
      <c r="Y379" s="87"/>
      <c r="Z379" s="87"/>
      <c r="AA379" s="87"/>
      <c r="AB379" s="87"/>
      <c r="AC379" s="90" t="str">
        <f t="shared" si="39"/>
        <v>Arborizadora, Lucero, Cuenca del Tunjuelo</v>
      </c>
      <c r="AD379" s="87" t="s">
        <v>110</v>
      </c>
      <c r="AE379" s="87" t="s">
        <v>111</v>
      </c>
      <c r="AF379" s="87" t="s">
        <v>112</v>
      </c>
      <c r="AG379" s="87"/>
      <c r="AH379" s="87"/>
      <c r="AI379" s="87"/>
      <c r="AJ379" s="87"/>
      <c r="AK379" s="87"/>
      <c r="AL379" s="87"/>
      <c r="AM379" s="87"/>
      <c r="AN379" s="90" t="s">
        <v>1875</v>
      </c>
      <c r="AO379" s="90"/>
      <c r="AP379" s="82"/>
      <c r="AQ379" s="87" t="s">
        <v>59</v>
      </c>
      <c r="AR379" s="87" t="s">
        <v>80</v>
      </c>
      <c r="AS379" s="82"/>
      <c r="AT379" s="87">
        <v>15</v>
      </c>
      <c r="AU379" s="87">
        <v>1</v>
      </c>
      <c r="AV379" s="87">
        <f t="shared" si="40"/>
        <v>16</v>
      </c>
      <c r="AW379" s="87" t="str">
        <f t="shared" si="41"/>
        <v>No Aplica</v>
      </c>
      <c r="AX379" s="87" t="s">
        <v>78</v>
      </c>
      <c r="AY379" s="87"/>
      <c r="AZ379" s="87"/>
      <c r="BA379" s="91" t="s">
        <v>1876</v>
      </c>
      <c r="BB379" s="84"/>
      <c r="BC379" s="85"/>
      <c r="BD379" s="85"/>
    </row>
    <row r="380" spans="1:56" s="86" customFormat="1" ht="46.5" customHeight="1">
      <c r="A380" s="78">
        <v>375</v>
      </c>
      <c r="B380" s="79" t="s">
        <v>1877</v>
      </c>
      <c r="C380" s="88">
        <v>45412</v>
      </c>
      <c r="D380" s="89">
        <v>0.64583333333333337</v>
      </c>
      <c r="E380" s="87" t="s">
        <v>58</v>
      </c>
      <c r="F380" s="87" t="s">
        <v>1878</v>
      </c>
      <c r="G380" s="87" t="s">
        <v>95</v>
      </c>
      <c r="H380" s="90" t="s">
        <v>1879</v>
      </c>
      <c r="I380" s="90" t="s">
        <v>188</v>
      </c>
      <c r="J380" s="87" t="s">
        <v>173</v>
      </c>
      <c r="K380" s="87"/>
      <c r="L380" s="90" t="s">
        <v>1880</v>
      </c>
      <c r="M380" s="91">
        <v>3103418422</v>
      </c>
      <c r="N380" s="90" t="s">
        <v>1881</v>
      </c>
      <c r="O380" s="90" t="str">
        <f t="shared" si="37"/>
        <v>Puente Aranda</v>
      </c>
      <c r="P380" s="87" t="s">
        <v>823</v>
      </c>
      <c r="Q380" s="87"/>
      <c r="R380" s="87"/>
      <c r="S380" s="87"/>
      <c r="T380" s="87"/>
      <c r="U380" s="87"/>
      <c r="V380" s="90" t="str">
        <f t="shared" si="38"/>
        <v>Centro Ampliado</v>
      </c>
      <c r="W380" s="87" t="s">
        <v>415</v>
      </c>
      <c r="X380" s="87"/>
      <c r="Y380" s="87"/>
      <c r="Z380" s="87"/>
      <c r="AA380" s="87"/>
      <c r="AB380" s="87"/>
      <c r="AC380" s="90" t="str">
        <f t="shared" si="39"/>
        <v>Puente Aranda</v>
      </c>
      <c r="AD380" s="87" t="s">
        <v>823</v>
      </c>
      <c r="AE380" s="87"/>
      <c r="AF380" s="87"/>
      <c r="AG380" s="87"/>
      <c r="AH380" s="87"/>
      <c r="AI380" s="87"/>
      <c r="AJ380" s="87"/>
      <c r="AK380" s="87"/>
      <c r="AL380" s="87"/>
      <c r="AM380" s="87"/>
      <c r="AN380" s="90" t="s">
        <v>1882</v>
      </c>
      <c r="AO380" s="92" t="s">
        <v>1883</v>
      </c>
      <c r="AP380" s="82"/>
      <c r="AQ380" s="87" t="s">
        <v>59</v>
      </c>
      <c r="AR380" s="87" t="s">
        <v>80</v>
      </c>
      <c r="AS380" s="82"/>
      <c r="AT380" s="87">
        <v>21</v>
      </c>
      <c r="AU380" s="87">
        <v>6</v>
      </c>
      <c r="AV380" s="87">
        <f t="shared" si="40"/>
        <v>27</v>
      </c>
      <c r="AW380" s="87" t="str">
        <f t="shared" si="41"/>
        <v>Horarios Acordes</v>
      </c>
      <c r="AX380" s="87" t="s">
        <v>213</v>
      </c>
      <c r="AY380" s="87"/>
      <c r="AZ380" s="87"/>
      <c r="BA380" s="91" t="s">
        <v>1884</v>
      </c>
      <c r="BB380" s="84"/>
      <c r="BC380" s="85"/>
      <c r="BD380" s="85"/>
    </row>
    <row r="381" spans="1:56" s="86" customFormat="1" ht="46.5" customHeight="1">
      <c r="A381" s="87">
        <v>376</v>
      </c>
      <c r="B381" s="79" t="s">
        <v>271</v>
      </c>
      <c r="C381" s="88">
        <v>45414</v>
      </c>
      <c r="D381" s="89">
        <v>0.33333333333333331</v>
      </c>
      <c r="E381" s="87" t="s">
        <v>58</v>
      </c>
      <c r="F381" s="87" t="s">
        <v>61</v>
      </c>
      <c r="G381" s="87" t="s">
        <v>95</v>
      </c>
      <c r="H381" s="90" t="s">
        <v>1885</v>
      </c>
      <c r="I381" s="90" t="s">
        <v>188</v>
      </c>
      <c r="J381" s="87" t="s">
        <v>70</v>
      </c>
      <c r="K381" s="87" t="s">
        <v>71</v>
      </c>
      <c r="L381" s="90" t="s">
        <v>72</v>
      </c>
      <c r="M381" s="91" t="s">
        <v>72</v>
      </c>
      <c r="N381" s="90" t="s">
        <v>72</v>
      </c>
      <c r="O381" s="90" t="str">
        <f t="shared" si="37"/>
        <v>Distrital</v>
      </c>
      <c r="P381" s="87" t="s">
        <v>73</v>
      </c>
      <c r="Q381" s="87"/>
      <c r="R381" s="87"/>
      <c r="S381" s="87"/>
      <c r="T381" s="87"/>
      <c r="U381" s="87"/>
      <c r="V381" s="90" t="str">
        <f t="shared" si="38"/>
        <v>Distrital</v>
      </c>
      <c r="W381" s="87" t="s">
        <v>73</v>
      </c>
      <c r="X381" s="87"/>
      <c r="Y381" s="87"/>
      <c r="Z381" s="87"/>
      <c r="AA381" s="87"/>
      <c r="AB381" s="87"/>
      <c r="AC381" s="90" t="str">
        <f t="shared" si="39"/>
        <v>Distrital</v>
      </c>
      <c r="AD381" s="87" t="s">
        <v>73</v>
      </c>
      <c r="AE381" s="87"/>
      <c r="AF381" s="87"/>
      <c r="AG381" s="87"/>
      <c r="AH381" s="87"/>
      <c r="AI381" s="87"/>
      <c r="AJ381" s="87"/>
      <c r="AK381" s="87"/>
      <c r="AL381" s="87"/>
      <c r="AM381" s="87"/>
      <c r="AN381" s="90" t="s">
        <v>160</v>
      </c>
      <c r="AO381" s="92" t="s">
        <v>1886</v>
      </c>
      <c r="AP381" s="82"/>
      <c r="AQ381" s="87" t="s">
        <v>60</v>
      </c>
      <c r="AR381" s="87" t="s">
        <v>77</v>
      </c>
      <c r="AS381" s="82"/>
      <c r="AT381" s="87">
        <v>17</v>
      </c>
      <c r="AU381" s="87">
        <v>16</v>
      </c>
      <c r="AV381" s="87">
        <f t="shared" si="40"/>
        <v>33</v>
      </c>
      <c r="AW381" s="87" t="str">
        <f t="shared" si="41"/>
        <v>No Aplica</v>
      </c>
      <c r="AX381" s="87" t="s">
        <v>78</v>
      </c>
      <c r="AY381" s="87"/>
      <c r="AZ381" s="87"/>
      <c r="BA381" s="91" t="s">
        <v>1887</v>
      </c>
      <c r="BB381" s="84"/>
      <c r="BC381" s="85"/>
      <c r="BD381" s="85"/>
    </row>
    <row r="382" spans="1:56" s="86" customFormat="1" ht="46.5" customHeight="1">
      <c r="A382" s="78">
        <v>377</v>
      </c>
      <c r="B382" s="79" t="s">
        <v>1888</v>
      </c>
      <c r="C382" s="88">
        <v>45414</v>
      </c>
      <c r="D382" s="89">
        <v>0</v>
      </c>
      <c r="E382" s="87" t="s">
        <v>58</v>
      </c>
      <c r="F382" s="87" t="s">
        <v>61</v>
      </c>
      <c r="G382" s="87" t="s">
        <v>62</v>
      </c>
      <c r="H382" s="90" t="s">
        <v>1737</v>
      </c>
      <c r="I382" s="90" t="s">
        <v>172</v>
      </c>
      <c r="J382" s="87" t="s">
        <v>70</v>
      </c>
      <c r="K382" s="87" t="s">
        <v>300</v>
      </c>
      <c r="L382" s="90" t="s">
        <v>1317</v>
      </c>
      <c r="M382" s="91" t="s">
        <v>1317</v>
      </c>
      <c r="N382" s="90" t="s">
        <v>1317</v>
      </c>
      <c r="O382" s="90" t="str">
        <f t="shared" si="37"/>
        <v>Distrital</v>
      </c>
      <c r="P382" s="87" t="s">
        <v>73</v>
      </c>
      <c r="Q382" s="87"/>
      <c r="R382" s="87"/>
      <c r="S382" s="87"/>
      <c r="T382" s="87"/>
      <c r="U382" s="87"/>
      <c r="V382" s="90" t="str">
        <f t="shared" si="38"/>
        <v>Distrital</v>
      </c>
      <c r="W382" s="87" t="s">
        <v>73</v>
      </c>
      <c r="X382" s="87"/>
      <c r="Y382" s="87"/>
      <c r="Z382" s="87"/>
      <c r="AA382" s="87"/>
      <c r="AB382" s="87"/>
      <c r="AC382" s="90" t="str">
        <f t="shared" si="39"/>
        <v>Distrital</v>
      </c>
      <c r="AD382" s="87" t="s">
        <v>73</v>
      </c>
      <c r="AE382" s="87"/>
      <c r="AF382" s="87"/>
      <c r="AG382" s="87"/>
      <c r="AH382" s="87"/>
      <c r="AI382" s="87"/>
      <c r="AJ382" s="87"/>
      <c r="AK382" s="87"/>
      <c r="AL382" s="87"/>
      <c r="AM382" s="87"/>
      <c r="AN382" s="90" t="s">
        <v>1739</v>
      </c>
      <c r="AO382" s="90" t="s">
        <v>1740</v>
      </c>
      <c r="AP382" s="82"/>
      <c r="AQ382" s="87" t="s">
        <v>60</v>
      </c>
      <c r="AR382" s="87" t="s">
        <v>1741</v>
      </c>
      <c r="AS382" s="82"/>
      <c r="AT382" s="87">
        <v>5</v>
      </c>
      <c r="AU382" s="87">
        <v>4</v>
      </c>
      <c r="AV382" s="87">
        <f t="shared" si="40"/>
        <v>9</v>
      </c>
      <c r="AW382" s="87" t="str">
        <f t="shared" si="41"/>
        <v>Horarios Acordes</v>
      </c>
      <c r="AX382" s="87" t="s">
        <v>213</v>
      </c>
      <c r="AY382" s="87"/>
      <c r="AZ382" s="87"/>
      <c r="BA382" s="91" t="s">
        <v>1889</v>
      </c>
      <c r="BB382" s="84"/>
      <c r="BC382" s="85"/>
      <c r="BD382" s="85"/>
    </row>
    <row r="383" spans="1:56" s="86" customFormat="1" ht="46.5" customHeight="1">
      <c r="A383" s="87">
        <v>378</v>
      </c>
      <c r="B383" s="79" t="s">
        <v>1808</v>
      </c>
      <c r="C383" s="88">
        <v>45414</v>
      </c>
      <c r="D383" s="89">
        <v>0.41666666666666669</v>
      </c>
      <c r="E383" s="87" t="s">
        <v>93</v>
      </c>
      <c r="F383" s="87" t="s">
        <v>321</v>
      </c>
      <c r="G383" s="87" t="s">
        <v>62</v>
      </c>
      <c r="H383" s="90" t="s">
        <v>1809</v>
      </c>
      <c r="I383" s="90" t="s">
        <v>64</v>
      </c>
      <c r="J383" s="87" t="s">
        <v>70</v>
      </c>
      <c r="K383" s="87" t="s">
        <v>1810</v>
      </c>
      <c r="L383" s="90" t="s">
        <v>484</v>
      </c>
      <c r="M383" s="91">
        <v>3102079889</v>
      </c>
      <c r="N383" s="90" t="s">
        <v>486</v>
      </c>
      <c r="O383" s="90" t="str">
        <f t="shared" si="37"/>
        <v>La Candelaria</v>
      </c>
      <c r="P383" s="87" t="s">
        <v>487</v>
      </c>
      <c r="Q383" s="87"/>
      <c r="R383" s="87"/>
      <c r="S383" s="87"/>
      <c r="T383" s="87"/>
      <c r="U383" s="87"/>
      <c r="V383" s="90" t="str">
        <f t="shared" si="38"/>
        <v>Centro Ampliado</v>
      </c>
      <c r="W383" s="87" t="s">
        <v>415</v>
      </c>
      <c r="X383" s="87"/>
      <c r="Y383" s="87"/>
      <c r="Z383" s="87"/>
      <c r="AA383" s="87"/>
      <c r="AB383" s="87"/>
      <c r="AC383" s="90" t="str">
        <f t="shared" si="39"/>
        <v>Centro Histórico</v>
      </c>
      <c r="AD383" s="87" t="s">
        <v>488</v>
      </c>
      <c r="AE383" s="87"/>
      <c r="AF383" s="87"/>
      <c r="AG383" s="87"/>
      <c r="AH383" s="87"/>
      <c r="AI383" s="87"/>
      <c r="AJ383" s="87"/>
      <c r="AK383" s="87"/>
      <c r="AL383" s="87"/>
      <c r="AM383" s="87"/>
      <c r="AN383" s="90" t="s">
        <v>1649</v>
      </c>
      <c r="AO383" s="90" t="s">
        <v>1890</v>
      </c>
      <c r="AP383" s="82"/>
      <c r="AQ383" s="87" t="s">
        <v>59</v>
      </c>
      <c r="AR383" s="87" t="s">
        <v>80</v>
      </c>
      <c r="AS383" s="82"/>
      <c r="AT383" s="87">
        <v>20</v>
      </c>
      <c r="AU383" s="87">
        <v>1</v>
      </c>
      <c r="AV383" s="87">
        <f t="shared" si="40"/>
        <v>21</v>
      </c>
      <c r="AW383" s="87" t="str">
        <f t="shared" si="41"/>
        <v>No Aplica</v>
      </c>
      <c r="AX383" s="87" t="s">
        <v>78</v>
      </c>
      <c r="AY383" s="87"/>
      <c r="AZ383" s="87"/>
      <c r="BA383" s="91" t="s">
        <v>1891</v>
      </c>
      <c r="BB383" s="84"/>
      <c r="BC383" s="85"/>
      <c r="BD383" s="85"/>
    </row>
    <row r="384" spans="1:56" s="86" customFormat="1" ht="46.5" customHeight="1">
      <c r="A384" s="78">
        <v>379</v>
      </c>
      <c r="B384" s="79" t="s">
        <v>1860</v>
      </c>
      <c r="C384" s="88">
        <v>45414</v>
      </c>
      <c r="D384" s="89">
        <v>0.70833333333333337</v>
      </c>
      <c r="E384" s="87" t="s">
        <v>93</v>
      </c>
      <c r="F384" s="87" t="s">
        <v>102</v>
      </c>
      <c r="G384" s="87" t="s">
        <v>95</v>
      </c>
      <c r="H384" s="90" t="s">
        <v>1892</v>
      </c>
      <c r="I384" s="90" t="s">
        <v>118</v>
      </c>
      <c r="J384" s="87" t="s">
        <v>119</v>
      </c>
      <c r="K384" s="87" t="s">
        <v>129</v>
      </c>
      <c r="L384" s="90" t="s">
        <v>1286</v>
      </c>
      <c r="M384" s="91">
        <v>3188799909</v>
      </c>
      <c r="N384" s="90" t="s">
        <v>439</v>
      </c>
      <c r="O384" s="90" t="str">
        <f t="shared" si="37"/>
        <v>Distrital</v>
      </c>
      <c r="P384" s="87" t="s">
        <v>73</v>
      </c>
      <c r="Q384" s="87"/>
      <c r="R384" s="87"/>
      <c r="S384" s="87"/>
      <c r="T384" s="87"/>
      <c r="U384" s="87"/>
      <c r="V384" s="90" t="str">
        <f t="shared" si="38"/>
        <v>Distrital</v>
      </c>
      <c r="W384" s="87" t="s">
        <v>73</v>
      </c>
      <c r="X384" s="87"/>
      <c r="Y384" s="87"/>
      <c r="Z384" s="87"/>
      <c r="AA384" s="87"/>
      <c r="AB384" s="87"/>
      <c r="AC384" s="90" t="str">
        <f t="shared" si="39"/>
        <v>Distrital</v>
      </c>
      <c r="AD384" s="87" t="s">
        <v>73</v>
      </c>
      <c r="AE384" s="87"/>
      <c r="AF384" s="87"/>
      <c r="AG384" s="87"/>
      <c r="AH384" s="87"/>
      <c r="AI384" s="87"/>
      <c r="AJ384" s="87"/>
      <c r="AK384" s="87"/>
      <c r="AL384" s="87"/>
      <c r="AM384" s="87"/>
      <c r="AN384" s="90" t="s">
        <v>160</v>
      </c>
      <c r="AO384" s="92" t="s">
        <v>1893</v>
      </c>
      <c r="AP384" s="82"/>
      <c r="AQ384" s="87" t="s">
        <v>59</v>
      </c>
      <c r="AR384" s="87" t="s">
        <v>80</v>
      </c>
      <c r="AS384" s="82"/>
      <c r="AT384" s="87">
        <v>72</v>
      </c>
      <c r="AU384" s="87">
        <v>4</v>
      </c>
      <c r="AV384" s="87">
        <f t="shared" si="40"/>
        <v>76</v>
      </c>
      <c r="AW384" s="87" t="str">
        <f t="shared" si="41"/>
        <v>No Aplica</v>
      </c>
      <c r="AX384" s="87" t="s">
        <v>78</v>
      </c>
      <c r="AY384" s="87"/>
      <c r="AZ384" s="87"/>
      <c r="BA384" s="91" t="s">
        <v>1894</v>
      </c>
      <c r="BB384" s="84"/>
      <c r="BC384" s="85"/>
      <c r="BD384" s="85"/>
    </row>
    <row r="385" spans="1:56" s="86" customFormat="1" ht="46.5" customHeight="1">
      <c r="A385" s="87">
        <v>380</v>
      </c>
      <c r="B385" s="79" t="s">
        <v>1895</v>
      </c>
      <c r="C385" s="88">
        <v>45415</v>
      </c>
      <c r="D385" s="89">
        <v>0.33333333333333331</v>
      </c>
      <c r="E385" s="87" t="s">
        <v>58</v>
      </c>
      <c r="F385" s="87" t="s">
        <v>116</v>
      </c>
      <c r="G385" s="87" t="s">
        <v>62</v>
      </c>
      <c r="H385" s="90" t="s">
        <v>1896</v>
      </c>
      <c r="I385" s="90" t="s">
        <v>118</v>
      </c>
      <c r="J385" s="87" t="s">
        <v>173</v>
      </c>
      <c r="K385" s="87"/>
      <c r="L385" s="90" t="s">
        <v>1897</v>
      </c>
      <c r="M385" s="91" t="s">
        <v>1317</v>
      </c>
      <c r="N385" s="90" t="s">
        <v>1898</v>
      </c>
      <c r="O385" s="90" t="str">
        <f t="shared" si="37"/>
        <v>Puente Aranda</v>
      </c>
      <c r="P385" s="87" t="s">
        <v>823</v>
      </c>
      <c r="Q385" s="87"/>
      <c r="R385" s="87"/>
      <c r="S385" s="87"/>
      <c r="T385" s="87"/>
      <c r="U385" s="87"/>
      <c r="V385" s="90" t="str">
        <f t="shared" si="38"/>
        <v>Centro Ampliado</v>
      </c>
      <c r="W385" s="87" t="s">
        <v>415</v>
      </c>
      <c r="X385" s="87"/>
      <c r="Y385" s="87"/>
      <c r="Z385" s="87"/>
      <c r="AA385" s="87"/>
      <c r="AB385" s="87"/>
      <c r="AC385" s="90" t="str">
        <f t="shared" si="39"/>
        <v>Puente Aranda</v>
      </c>
      <c r="AD385" s="87" t="s">
        <v>823</v>
      </c>
      <c r="AE385" s="87"/>
      <c r="AF385" s="87"/>
      <c r="AG385" s="87"/>
      <c r="AH385" s="87"/>
      <c r="AI385" s="87"/>
      <c r="AJ385" s="87"/>
      <c r="AK385" s="87"/>
      <c r="AL385" s="87"/>
      <c r="AM385" s="87"/>
      <c r="AN385" s="90" t="s">
        <v>160</v>
      </c>
      <c r="AO385" s="90" t="s">
        <v>1899</v>
      </c>
      <c r="AP385" s="82"/>
      <c r="AQ385" s="87" t="s">
        <v>59</v>
      </c>
      <c r="AR385" s="87" t="s">
        <v>80</v>
      </c>
      <c r="AS385" s="82"/>
      <c r="AT385" s="87">
        <v>14</v>
      </c>
      <c r="AU385" s="87">
        <v>3</v>
      </c>
      <c r="AV385" s="87">
        <f t="shared" si="40"/>
        <v>17</v>
      </c>
      <c r="AW385" s="87" t="str">
        <f t="shared" si="41"/>
        <v>No Aplica</v>
      </c>
      <c r="AX385" s="87" t="s">
        <v>78</v>
      </c>
      <c r="AY385" s="87"/>
      <c r="AZ385" s="87"/>
      <c r="BA385" s="91" t="s">
        <v>1900</v>
      </c>
      <c r="BB385" s="84"/>
      <c r="BC385" s="85"/>
      <c r="BD385" s="85"/>
    </row>
    <row r="386" spans="1:56" s="86" customFormat="1" ht="46.5" customHeight="1">
      <c r="A386" s="78">
        <v>381</v>
      </c>
      <c r="B386" s="79" t="s">
        <v>1901</v>
      </c>
      <c r="C386" s="88">
        <v>45415</v>
      </c>
      <c r="D386" s="89">
        <v>0.375</v>
      </c>
      <c r="E386" s="87" t="s">
        <v>58</v>
      </c>
      <c r="F386" s="87" t="s">
        <v>61</v>
      </c>
      <c r="G386" s="87" t="s">
        <v>62</v>
      </c>
      <c r="H386" s="90" t="s">
        <v>1737</v>
      </c>
      <c r="I386" s="90" t="s">
        <v>172</v>
      </c>
      <c r="J386" s="87" t="s">
        <v>70</v>
      </c>
      <c r="K386" s="87" t="s">
        <v>300</v>
      </c>
      <c r="L386" s="90" t="s">
        <v>1317</v>
      </c>
      <c r="M386" s="91" t="s">
        <v>1317</v>
      </c>
      <c r="N386" s="90" t="s">
        <v>1317</v>
      </c>
      <c r="O386" s="90" t="str">
        <f t="shared" si="37"/>
        <v>Distrital</v>
      </c>
      <c r="P386" s="87" t="s">
        <v>73</v>
      </c>
      <c r="Q386" s="87"/>
      <c r="R386" s="87"/>
      <c r="S386" s="87"/>
      <c r="T386" s="87"/>
      <c r="U386" s="87"/>
      <c r="V386" s="90" t="str">
        <f t="shared" si="38"/>
        <v>Distrital</v>
      </c>
      <c r="W386" s="87" t="s">
        <v>73</v>
      </c>
      <c r="X386" s="87"/>
      <c r="Y386" s="87"/>
      <c r="Z386" s="87"/>
      <c r="AA386" s="87"/>
      <c r="AB386" s="87"/>
      <c r="AC386" s="90" t="str">
        <f t="shared" si="39"/>
        <v>Distrital</v>
      </c>
      <c r="AD386" s="87" t="s">
        <v>73</v>
      </c>
      <c r="AE386" s="87"/>
      <c r="AF386" s="87"/>
      <c r="AG386" s="87"/>
      <c r="AH386" s="87"/>
      <c r="AI386" s="87"/>
      <c r="AJ386" s="87"/>
      <c r="AK386" s="87"/>
      <c r="AL386" s="87"/>
      <c r="AM386" s="87"/>
      <c r="AN386" s="90" t="s">
        <v>1739</v>
      </c>
      <c r="AO386" s="90" t="s">
        <v>1740</v>
      </c>
      <c r="AP386" s="82"/>
      <c r="AQ386" s="87" t="s">
        <v>60</v>
      </c>
      <c r="AR386" s="87" t="s">
        <v>1741</v>
      </c>
      <c r="AS386" s="82"/>
      <c r="AT386" s="87">
        <v>10</v>
      </c>
      <c r="AU386" s="87">
        <v>4</v>
      </c>
      <c r="AV386" s="87">
        <f t="shared" si="40"/>
        <v>14</v>
      </c>
      <c r="AW386" s="87" t="str">
        <f t="shared" si="41"/>
        <v>Contenidos adaptados</v>
      </c>
      <c r="AX386" s="87" t="s">
        <v>212</v>
      </c>
      <c r="AY386" s="87"/>
      <c r="AZ386" s="87"/>
      <c r="BA386" s="91" t="s">
        <v>1902</v>
      </c>
      <c r="BB386" s="84"/>
      <c r="BC386" s="85"/>
      <c r="BD386" s="85"/>
    </row>
    <row r="387" spans="1:56" s="86" customFormat="1" ht="46.5" customHeight="1">
      <c r="A387" s="87">
        <v>382</v>
      </c>
      <c r="B387" s="79" t="s">
        <v>1903</v>
      </c>
      <c r="C387" s="88">
        <v>45415</v>
      </c>
      <c r="D387" s="89">
        <v>0.375</v>
      </c>
      <c r="E387" s="87" t="s">
        <v>58</v>
      </c>
      <c r="F387" s="87" t="s">
        <v>61</v>
      </c>
      <c r="G387" s="87" t="s">
        <v>62</v>
      </c>
      <c r="H387" s="90" t="s">
        <v>1904</v>
      </c>
      <c r="I387" s="90" t="s">
        <v>172</v>
      </c>
      <c r="J387" s="87" t="s">
        <v>70</v>
      </c>
      <c r="K387" s="87" t="s">
        <v>300</v>
      </c>
      <c r="L387" s="90" t="s">
        <v>1836</v>
      </c>
      <c r="M387" s="91" t="s">
        <v>1905</v>
      </c>
      <c r="N387" s="90" t="s">
        <v>1837</v>
      </c>
      <c r="O387" s="90" t="str">
        <f t="shared" si="37"/>
        <v>Distrital</v>
      </c>
      <c r="P387" s="87" t="s">
        <v>73</v>
      </c>
      <c r="Q387" s="87"/>
      <c r="R387" s="87"/>
      <c r="S387" s="87"/>
      <c r="T387" s="87"/>
      <c r="U387" s="87"/>
      <c r="V387" s="90" t="str">
        <f t="shared" si="38"/>
        <v>Distrital</v>
      </c>
      <c r="W387" s="87" t="s">
        <v>73</v>
      </c>
      <c r="X387" s="87"/>
      <c r="Y387" s="87"/>
      <c r="Z387" s="87"/>
      <c r="AA387" s="87"/>
      <c r="AB387" s="87"/>
      <c r="AC387" s="90" t="str">
        <f t="shared" si="39"/>
        <v>Distrital</v>
      </c>
      <c r="AD387" s="87" t="s">
        <v>73</v>
      </c>
      <c r="AE387" s="87"/>
      <c r="AF387" s="87"/>
      <c r="AG387" s="87"/>
      <c r="AH387" s="87"/>
      <c r="AI387" s="87"/>
      <c r="AJ387" s="87"/>
      <c r="AK387" s="87"/>
      <c r="AL387" s="87"/>
      <c r="AM387" s="87"/>
      <c r="AN387" s="90" t="s">
        <v>1739</v>
      </c>
      <c r="AO387" s="90" t="s">
        <v>1740</v>
      </c>
      <c r="AP387" s="82"/>
      <c r="AQ387" s="87" t="s">
        <v>60</v>
      </c>
      <c r="AR387" s="87" t="s">
        <v>1741</v>
      </c>
      <c r="AS387" s="82"/>
      <c r="AT387" s="87">
        <v>120</v>
      </c>
      <c r="AU387" s="87">
        <v>6</v>
      </c>
      <c r="AV387" s="87">
        <f t="shared" si="40"/>
        <v>126</v>
      </c>
      <c r="AW387" s="87" t="str">
        <f t="shared" si="41"/>
        <v>No Aplica</v>
      </c>
      <c r="AX387" s="87" t="s">
        <v>78</v>
      </c>
      <c r="AY387" s="87"/>
      <c r="AZ387" s="87"/>
      <c r="BA387" s="91" t="s">
        <v>1906</v>
      </c>
      <c r="BB387" s="84"/>
      <c r="BC387" s="85"/>
      <c r="BD387" s="85"/>
    </row>
    <row r="388" spans="1:56" s="86" customFormat="1" ht="46.5" customHeight="1">
      <c r="A388" s="78">
        <v>383</v>
      </c>
      <c r="B388" s="79" t="s">
        <v>523</v>
      </c>
      <c r="C388" s="88">
        <v>45415</v>
      </c>
      <c r="D388" s="89">
        <v>0.375</v>
      </c>
      <c r="E388" s="87" t="s">
        <v>93</v>
      </c>
      <c r="F388" s="87" t="s">
        <v>321</v>
      </c>
      <c r="G388" s="87" t="s">
        <v>95</v>
      </c>
      <c r="H388" s="90" t="s">
        <v>1907</v>
      </c>
      <c r="I388" s="90" t="s">
        <v>64</v>
      </c>
      <c r="J388" s="87" t="s">
        <v>70</v>
      </c>
      <c r="K388" s="87" t="s">
        <v>1810</v>
      </c>
      <c r="L388" s="90" t="s">
        <v>1908</v>
      </c>
      <c r="M388" s="91" t="s">
        <v>1909</v>
      </c>
      <c r="N388" s="90" t="s">
        <v>526</v>
      </c>
      <c r="O388" s="90" t="str">
        <f t="shared" si="37"/>
        <v>Usaquén</v>
      </c>
      <c r="P388" s="87" t="s">
        <v>428</v>
      </c>
      <c r="Q388" s="87"/>
      <c r="R388" s="87"/>
      <c r="S388" s="87"/>
      <c r="T388" s="87"/>
      <c r="U388" s="87"/>
      <c r="V388" s="90" t="str">
        <f t="shared" si="38"/>
        <v>Norte, Ruralidad</v>
      </c>
      <c r="W388" s="87" t="s">
        <v>429</v>
      </c>
      <c r="X388" s="87" t="s">
        <v>109</v>
      </c>
      <c r="Y388" s="87"/>
      <c r="Z388" s="87"/>
      <c r="AA388" s="87"/>
      <c r="AB388" s="87"/>
      <c r="AC388" s="90" t="str">
        <f t="shared" si="39"/>
        <v>Usaquén, Toberín, Cerros Orientales, Torca</v>
      </c>
      <c r="AD388" s="87" t="s">
        <v>428</v>
      </c>
      <c r="AE388" s="87" t="s">
        <v>527</v>
      </c>
      <c r="AF388" s="87" t="s">
        <v>222</v>
      </c>
      <c r="AG388" s="87" t="s">
        <v>528</v>
      </c>
      <c r="AH388" s="87"/>
      <c r="AI388" s="87"/>
      <c r="AJ388" s="87"/>
      <c r="AK388" s="87"/>
      <c r="AL388" s="87"/>
      <c r="AM388" s="87"/>
      <c r="AN388" s="90" t="s">
        <v>428</v>
      </c>
      <c r="AO388" s="92" t="s">
        <v>1910</v>
      </c>
      <c r="AP388" s="82"/>
      <c r="AQ388" s="87" t="s">
        <v>59</v>
      </c>
      <c r="AR388" s="87" t="s">
        <v>80</v>
      </c>
      <c r="AS388" s="82"/>
      <c r="AT388" s="87">
        <v>15</v>
      </c>
      <c r="AU388" s="87">
        <v>1</v>
      </c>
      <c r="AV388" s="87">
        <f t="shared" si="40"/>
        <v>16</v>
      </c>
      <c r="AW388" s="87" t="str">
        <f t="shared" si="41"/>
        <v>No Aplica</v>
      </c>
      <c r="AX388" s="87" t="s">
        <v>78</v>
      </c>
      <c r="AY388" s="87"/>
      <c r="AZ388" s="87"/>
      <c r="BA388" s="91" t="s">
        <v>1911</v>
      </c>
      <c r="BB388" s="84"/>
      <c r="BC388" s="85"/>
      <c r="BD388" s="85"/>
    </row>
    <row r="389" spans="1:56" s="86" customFormat="1" ht="46.5" customHeight="1">
      <c r="A389" s="87">
        <v>384</v>
      </c>
      <c r="B389" s="79" t="s">
        <v>1912</v>
      </c>
      <c r="C389" s="88">
        <v>45415</v>
      </c>
      <c r="D389" s="89">
        <v>0.375</v>
      </c>
      <c r="E389" s="87" t="s">
        <v>58</v>
      </c>
      <c r="F389" s="87" t="s">
        <v>1142</v>
      </c>
      <c r="G389" s="87" t="s">
        <v>62</v>
      </c>
      <c r="H389" s="90" t="s">
        <v>1913</v>
      </c>
      <c r="I389" s="90" t="s">
        <v>64</v>
      </c>
      <c r="J389" s="87" t="s">
        <v>173</v>
      </c>
      <c r="K389" s="87"/>
      <c r="L389" s="90" t="s">
        <v>1914</v>
      </c>
      <c r="M389" s="91" t="s">
        <v>80</v>
      </c>
      <c r="N389" s="90" t="s">
        <v>1915</v>
      </c>
      <c r="O389" s="90" t="str">
        <f t="shared" si="37"/>
        <v>Distrital</v>
      </c>
      <c r="P389" s="87" t="s">
        <v>73</v>
      </c>
      <c r="Q389" s="87"/>
      <c r="R389" s="87"/>
      <c r="S389" s="87"/>
      <c r="T389" s="87"/>
      <c r="U389" s="87"/>
      <c r="V389" s="90" t="str">
        <f t="shared" si="38"/>
        <v>Distrital</v>
      </c>
      <c r="W389" s="87" t="s">
        <v>73</v>
      </c>
      <c r="X389" s="87"/>
      <c r="Y389" s="87"/>
      <c r="Z389" s="87"/>
      <c r="AA389" s="87"/>
      <c r="AB389" s="87"/>
      <c r="AC389" s="90" t="str">
        <f t="shared" si="39"/>
        <v>Distrital</v>
      </c>
      <c r="AD389" s="87" t="s">
        <v>73</v>
      </c>
      <c r="AE389" s="87"/>
      <c r="AF389" s="87"/>
      <c r="AG389" s="87"/>
      <c r="AH389" s="87"/>
      <c r="AI389" s="87"/>
      <c r="AJ389" s="87"/>
      <c r="AK389" s="87"/>
      <c r="AL389" s="87"/>
      <c r="AM389" s="87"/>
      <c r="AN389" s="90" t="s">
        <v>160</v>
      </c>
      <c r="AO389" s="90" t="s">
        <v>1916</v>
      </c>
      <c r="AP389" s="82"/>
      <c r="AQ389" s="87" t="s">
        <v>59</v>
      </c>
      <c r="AR389" s="87" t="s">
        <v>80</v>
      </c>
      <c r="AS389" s="82"/>
      <c r="AT389" s="87">
        <v>9</v>
      </c>
      <c r="AU389" s="87">
        <v>1</v>
      </c>
      <c r="AV389" s="87">
        <f t="shared" si="40"/>
        <v>10</v>
      </c>
      <c r="AW389" s="87" t="str">
        <f t="shared" si="41"/>
        <v>No Aplica</v>
      </c>
      <c r="AX389" s="87" t="s">
        <v>78</v>
      </c>
      <c r="AY389" s="87"/>
      <c r="AZ389" s="87"/>
      <c r="BA389" s="91" t="s">
        <v>1917</v>
      </c>
      <c r="BB389" s="84"/>
      <c r="BC389" s="85"/>
      <c r="BD389" s="85"/>
    </row>
    <row r="390" spans="1:56" s="86" customFormat="1" ht="46.5" customHeight="1">
      <c r="A390" s="78">
        <v>385</v>
      </c>
      <c r="B390" s="79" t="s">
        <v>1918</v>
      </c>
      <c r="C390" s="88">
        <v>45415</v>
      </c>
      <c r="D390" s="89">
        <v>0.375</v>
      </c>
      <c r="E390" s="87" t="s">
        <v>58</v>
      </c>
      <c r="F390" s="87" t="s">
        <v>135</v>
      </c>
      <c r="G390" s="87" t="s">
        <v>62</v>
      </c>
      <c r="H390" s="90" t="s">
        <v>1919</v>
      </c>
      <c r="I390" s="90" t="s">
        <v>64</v>
      </c>
      <c r="J390" s="87" t="s">
        <v>70</v>
      </c>
      <c r="K390" s="87"/>
      <c r="L390" s="90" t="s">
        <v>72</v>
      </c>
      <c r="M390" s="91" t="s">
        <v>72</v>
      </c>
      <c r="N390" s="90" t="s">
        <v>72</v>
      </c>
      <c r="O390" s="90" t="str">
        <f t="shared" si="37"/>
        <v>Distrital</v>
      </c>
      <c r="P390" s="87" t="s">
        <v>73</v>
      </c>
      <c r="Q390" s="87"/>
      <c r="R390" s="87"/>
      <c r="S390" s="87"/>
      <c r="T390" s="87"/>
      <c r="U390" s="87"/>
      <c r="V390" s="90" t="str">
        <f t="shared" si="38"/>
        <v>Distrital</v>
      </c>
      <c r="W390" s="87" t="s">
        <v>73</v>
      </c>
      <c r="X390" s="87"/>
      <c r="Y390" s="87"/>
      <c r="Z390" s="87"/>
      <c r="AA390" s="87"/>
      <c r="AB390" s="87"/>
      <c r="AC390" s="90" t="str">
        <f t="shared" si="39"/>
        <v>Distrital</v>
      </c>
      <c r="AD390" s="87" t="s">
        <v>73</v>
      </c>
      <c r="AE390" s="87"/>
      <c r="AF390" s="87"/>
      <c r="AG390" s="87"/>
      <c r="AH390" s="87"/>
      <c r="AI390" s="87"/>
      <c r="AJ390" s="87"/>
      <c r="AK390" s="87"/>
      <c r="AL390" s="87"/>
      <c r="AM390" s="87"/>
      <c r="AN390" s="90" t="s">
        <v>160</v>
      </c>
      <c r="AO390" s="90" t="s">
        <v>1920</v>
      </c>
      <c r="AP390" s="82"/>
      <c r="AQ390" s="87" t="s">
        <v>59</v>
      </c>
      <c r="AR390" s="87" t="s">
        <v>80</v>
      </c>
      <c r="AS390" s="82"/>
      <c r="AT390" s="87">
        <v>14</v>
      </c>
      <c r="AU390" s="87">
        <v>6</v>
      </c>
      <c r="AV390" s="87">
        <f t="shared" si="40"/>
        <v>20</v>
      </c>
      <c r="AW390" s="87" t="str">
        <f t="shared" si="41"/>
        <v>No Aplica</v>
      </c>
      <c r="AX390" s="87" t="s">
        <v>78</v>
      </c>
      <c r="AY390" s="87"/>
      <c r="AZ390" s="87"/>
      <c r="BA390" s="91" t="s">
        <v>1921</v>
      </c>
      <c r="BB390" s="84"/>
      <c r="BC390" s="85"/>
      <c r="BD390" s="85"/>
    </row>
    <row r="391" spans="1:56" s="86" customFormat="1" ht="46.5" customHeight="1">
      <c r="A391" s="87">
        <v>386</v>
      </c>
      <c r="B391" s="79" t="s">
        <v>1714</v>
      </c>
      <c r="C391" s="88">
        <v>45415</v>
      </c>
      <c r="D391" s="89">
        <v>0.41666666666666669</v>
      </c>
      <c r="E391" s="87" t="s">
        <v>58</v>
      </c>
      <c r="F391" s="87" t="s">
        <v>135</v>
      </c>
      <c r="G391" s="87" t="s">
        <v>95</v>
      </c>
      <c r="H391" s="90" t="s">
        <v>1922</v>
      </c>
      <c r="I391" s="90" t="s">
        <v>64</v>
      </c>
      <c r="J391" s="87" t="s">
        <v>173</v>
      </c>
      <c r="K391" s="87"/>
      <c r="L391" s="90" t="s">
        <v>72</v>
      </c>
      <c r="M391" s="91" t="s">
        <v>72</v>
      </c>
      <c r="N391" s="90" t="s">
        <v>72</v>
      </c>
      <c r="O391" s="90" t="str">
        <f t="shared" ref="O391:O454" si="42">_xlfn.TEXTJOIN(", ",TRUE,$P391:$T391)</f>
        <v>Distrital</v>
      </c>
      <c r="P391" s="87" t="s">
        <v>73</v>
      </c>
      <c r="Q391" s="87"/>
      <c r="R391" s="87"/>
      <c r="S391" s="87"/>
      <c r="T391" s="87"/>
      <c r="U391" s="87"/>
      <c r="V391" s="90" t="str">
        <f t="shared" ref="V391:V454" si="43">_xlfn.TEXTJOIN(", ",TRUE,$W391:$AB391)</f>
        <v>Distrital</v>
      </c>
      <c r="W391" s="87" t="s">
        <v>73</v>
      </c>
      <c r="X391" s="87"/>
      <c r="Y391" s="87"/>
      <c r="Z391" s="87"/>
      <c r="AA391" s="87"/>
      <c r="AB391" s="87"/>
      <c r="AC391" s="90" t="str">
        <f t="shared" ref="AC391:AC454" si="44">_xlfn.TEXTJOIN(", ",TRUE,$AD391:$AM391)</f>
        <v>Distrital</v>
      </c>
      <c r="AD391" s="87" t="s">
        <v>73</v>
      </c>
      <c r="AE391" s="87"/>
      <c r="AF391" s="87"/>
      <c r="AG391" s="87"/>
      <c r="AH391" s="87"/>
      <c r="AI391" s="87"/>
      <c r="AJ391" s="87"/>
      <c r="AK391" s="87"/>
      <c r="AL391" s="87"/>
      <c r="AM391" s="87"/>
      <c r="AN391" s="90" t="s">
        <v>160</v>
      </c>
      <c r="AO391" s="92" t="s">
        <v>1923</v>
      </c>
      <c r="AP391" s="82"/>
      <c r="AQ391" s="87" t="s">
        <v>60</v>
      </c>
      <c r="AR391" s="87" t="s">
        <v>77</v>
      </c>
      <c r="AS391" s="82"/>
      <c r="AT391" s="87">
        <v>5</v>
      </c>
      <c r="AU391" s="87">
        <v>5</v>
      </c>
      <c r="AV391" s="87">
        <f t="shared" si="40"/>
        <v>10</v>
      </c>
      <c r="AW391" s="87" t="str">
        <f t="shared" si="41"/>
        <v>No Aplica</v>
      </c>
      <c r="AX391" s="87" t="s">
        <v>78</v>
      </c>
      <c r="AY391" s="87"/>
      <c r="AZ391" s="87"/>
      <c r="BA391" s="91" t="s">
        <v>1924</v>
      </c>
      <c r="BB391" s="84"/>
      <c r="BC391" s="85"/>
      <c r="BD391" s="85"/>
    </row>
    <row r="392" spans="1:56" s="86" customFormat="1" ht="46.5" customHeight="1">
      <c r="A392" s="78">
        <v>387</v>
      </c>
      <c r="B392" s="79" t="s">
        <v>1925</v>
      </c>
      <c r="C392" s="88">
        <v>45415</v>
      </c>
      <c r="D392" s="89">
        <v>0.41666666666666669</v>
      </c>
      <c r="E392" s="87" t="s">
        <v>58</v>
      </c>
      <c r="F392" s="87" t="s">
        <v>116</v>
      </c>
      <c r="G392" s="87" t="s">
        <v>62</v>
      </c>
      <c r="H392" s="90" t="s">
        <v>1926</v>
      </c>
      <c r="I392" s="90" t="s">
        <v>118</v>
      </c>
      <c r="J392" s="87" t="s">
        <v>119</v>
      </c>
      <c r="K392" s="87"/>
      <c r="L392" s="90" t="s">
        <v>72</v>
      </c>
      <c r="M392" s="91" t="s">
        <v>72</v>
      </c>
      <c r="N392" s="90" t="s">
        <v>72</v>
      </c>
      <c r="O392" s="90" t="str">
        <f t="shared" si="42"/>
        <v>Chapinero</v>
      </c>
      <c r="P392" s="87" t="s">
        <v>221</v>
      </c>
      <c r="Q392" s="87"/>
      <c r="R392" s="87"/>
      <c r="S392" s="87"/>
      <c r="T392" s="87"/>
      <c r="U392" s="87"/>
      <c r="V392" s="90" t="str">
        <f t="shared" si="43"/>
        <v>Centro Ampliado, Ruralidad</v>
      </c>
      <c r="W392" s="87" t="s">
        <v>415</v>
      </c>
      <c r="X392" s="87" t="s">
        <v>109</v>
      </c>
      <c r="Y392" s="87"/>
      <c r="Z392" s="87"/>
      <c r="AA392" s="87"/>
      <c r="AB392" s="87"/>
      <c r="AC392" s="90" t="str">
        <f t="shared" si="44"/>
        <v>Centro Histórico, Chapinero, Cerros Orientales</v>
      </c>
      <c r="AD392" s="87" t="s">
        <v>488</v>
      </c>
      <c r="AE392" s="87" t="s">
        <v>221</v>
      </c>
      <c r="AF392" s="87" t="s">
        <v>222</v>
      </c>
      <c r="AG392" s="87"/>
      <c r="AH392" s="87"/>
      <c r="AI392" s="87"/>
      <c r="AJ392" s="87"/>
      <c r="AK392" s="87"/>
      <c r="AL392" s="87"/>
      <c r="AM392" s="87"/>
      <c r="AN392" s="90" t="s">
        <v>160</v>
      </c>
      <c r="AO392" s="90" t="s">
        <v>1927</v>
      </c>
      <c r="AP392" s="82"/>
      <c r="AQ392" s="87" t="s">
        <v>59</v>
      </c>
      <c r="AR392" s="87" t="s">
        <v>80</v>
      </c>
      <c r="AS392" s="82"/>
      <c r="AT392" s="87">
        <v>8</v>
      </c>
      <c r="AU392" s="87">
        <v>6</v>
      </c>
      <c r="AV392" s="87">
        <f t="shared" si="40"/>
        <v>14</v>
      </c>
      <c r="AW392" s="87" t="str">
        <f t="shared" si="41"/>
        <v>No Aplica</v>
      </c>
      <c r="AX392" s="87" t="s">
        <v>78</v>
      </c>
      <c r="AY392" s="87"/>
      <c r="AZ392" s="87"/>
      <c r="BA392" s="91" t="s">
        <v>1928</v>
      </c>
      <c r="BB392" s="84"/>
      <c r="BC392" s="85"/>
      <c r="BD392" s="85"/>
    </row>
    <row r="393" spans="1:56" s="86" customFormat="1" ht="46.5" customHeight="1">
      <c r="A393" s="87">
        <v>388</v>
      </c>
      <c r="B393" s="79" t="s">
        <v>1929</v>
      </c>
      <c r="C393" s="88">
        <v>45415</v>
      </c>
      <c r="D393" s="89">
        <v>0.58333333333333337</v>
      </c>
      <c r="E393" s="87" t="s">
        <v>58</v>
      </c>
      <c r="F393" s="87" t="s">
        <v>135</v>
      </c>
      <c r="G393" s="87" t="s">
        <v>62</v>
      </c>
      <c r="H393" s="90" t="s">
        <v>1930</v>
      </c>
      <c r="I393" s="90" t="s">
        <v>64</v>
      </c>
      <c r="J393" s="87" t="s">
        <v>70</v>
      </c>
      <c r="K393" s="87" t="s">
        <v>71</v>
      </c>
      <c r="L393" s="90" t="s">
        <v>1931</v>
      </c>
      <c r="M393" s="91">
        <v>3508212744</v>
      </c>
      <c r="N393" s="90" t="s">
        <v>1932</v>
      </c>
      <c r="O393" s="90" t="str">
        <f t="shared" si="42"/>
        <v>Distrital</v>
      </c>
      <c r="P393" s="87" t="s">
        <v>73</v>
      </c>
      <c r="Q393" s="87"/>
      <c r="R393" s="87"/>
      <c r="S393" s="87"/>
      <c r="T393" s="87"/>
      <c r="U393" s="87"/>
      <c r="V393" s="90" t="str">
        <f t="shared" si="43"/>
        <v>Distrital</v>
      </c>
      <c r="W393" s="87" t="s">
        <v>73</v>
      </c>
      <c r="X393" s="87"/>
      <c r="Y393" s="87"/>
      <c r="Z393" s="87"/>
      <c r="AA393" s="87"/>
      <c r="AB393" s="87"/>
      <c r="AC393" s="90" t="str">
        <f t="shared" si="44"/>
        <v>Distrital</v>
      </c>
      <c r="AD393" s="87" t="s">
        <v>73</v>
      </c>
      <c r="AE393" s="87"/>
      <c r="AF393" s="87"/>
      <c r="AG393" s="87"/>
      <c r="AH393" s="87"/>
      <c r="AI393" s="87"/>
      <c r="AJ393" s="87"/>
      <c r="AK393" s="87"/>
      <c r="AL393" s="87"/>
      <c r="AM393" s="87"/>
      <c r="AN393" s="90" t="s">
        <v>1933</v>
      </c>
      <c r="AO393" s="90" t="s">
        <v>1934</v>
      </c>
      <c r="AP393" s="82"/>
      <c r="AQ393" s="87" t="s">
        <v>59</v>
      </c>
      <c r="AR393" s="87" t="s">
        <v>80</v>
      </c>
      <c r="AS393" s="82"/>
      <c r="AT393" s="87">
        <v>0</v>
      </c>
      <c r="AU393" s="87">
        <v>12</v>
      </c>
      <c r="AV393" s="87">
        <f t="shared" si="40"/>
        <v>12</v>
      </c>
      <c r="AW393" s="87" t="str">
        <f t="shared" si="41"/>
        <v>No Aplica</v>
      </c>
      <c r="AX393" s="87" t="s">
        <v>78</v>
      </c>
      <c r="AY393" s="87"/>
      <c r="AZ393" s="87"/>
      <c r="BA393" s="91" t="s">
        <v>1935</v>
      </c>
      <c r="BB393" s="84"/>
      <c r="BC393" s="85"/>
      <c r="BD393" s="85"/>
    </row>
    <row r="394" spans="1:56" s="86" customFormat="1" ht="46.5" customHeight="1">
      <c r="A394" s="78">
        <v>389</v>
      </c>
      <c r="B394" s="79" t="s">
        <v>1936</v>
      </c>
      <c r="C394" s="88">
        <v>45418</v>
      </c>
      <c r="D394" s="89">
        <v>0.375</v>
      </c>
      <c r="E394" s="87" t="s">
        <v>58</v>
      </c>
      <c r="F394" s="87" t="s">
        <v>61</v>
      </c>
      <c r="G394" s="87" t="s">
        <v>62</v>
      </c>
      <c r="H394" s="90" t="s">
        <v>1737</v>
      </c>
      <c r="I394" s="90" t="s">
        <v>172</v>
      </c>
      <c r="J394" s="87" t="s">
        <v>70</v>
      </c>
      <c r="K394" s="87" t="s">
        <v>300</v>
      </c>
      <c r="L394" s="90" t="s">
        <v>1836</v>
      </c>
      <c r="M394" s="91">
        <v>3105844361</v>
      </c>
      <c r="N394" s="90" t="s">
        <v>1837</v>
      </c>
      <c r="O394" s="90" t="str">
        <f t="shared" si="42"/>
        <v>Distrital</v>
      </c>
      <c r="P394" s="87" t="s">
        <v>73</v>
      </c>
      <c r="Q394" s="87"/>
      <c r="R394" s="87"/>
      <c r="S394" s="87"/>
      <c r="T394" s="87"/>
      <c r="U394" s="87"/>
      <c r="V394" s="90" t="str">
        <f t="shared" si="43"/>
        <v>Distrital</v>
      </c>
      <c r="W394" s="87" t="s">
        <v>73</v>
      </c>
      <c r="X394" s="87"/>
      <c r="Y394" s="87"/>
      <c r="Z394" s="87"/>
      <c r="AA394" s="87"/>
      <c r="AB394" s="87"/>
      <c r="AC394" s="90" t="str">
        <f t="shared" si="44"/>
        <v>Distrital</v>
      </c>
      <c r="AD394" s="87" t="s">
        <v>73</v>
      </c>
      <c r="AE394" s="87"/>
      <c r="AF394" s="87"/>
      <c r="AG394" s="87"/>
      <c r="AH394" s="87"/>
      <c r="AI394" s="87"/>
      <c r="AJ394" s="87"/>
      <c r="AK394" s="87"/>
      <c r="AL394" s="87"/>
      <c r="AM394" s="87"/>
      <c r="AN394" s="90" t="s">
        <v>1739</v>
      </c>
      <c r="AO394" s="90" t="s">
        <v>1740</v>
      </c>
      <c r="AP394" s="82"/>
      <c r="AQ394" s="87" t="s">
        <v>60</v>
      </c>
      <c r="AR394" s="87" t="s">
        <v>1741</v>
      </c>
      <c r="AS394" s="82"/>
      <c r="AT394" s="87">
        <v>10</v>
      </c>
      <c r="AU394" s="87">
        <v>3</v>
      </c>
      <c r="AV394" s="87">
        <f t="shared" si="40"/>
        <v>13</v>
      </c>
      <c r="AW394" s="87" t="str">
        <f t="shared" si="41"/>
        <v>Accesibilidad Universal, Horarios Acordes</v>
      </c>
      <c r="AX394" s="87" t="s">
        <v>246</v>
      </c>
      <c r="AY394" s="87" t="s">
        <v>213</v>
      </c>
      <c r="AZ394" s="87"/>
      <c r="BA394" s="91" t="s">
        <v>1937</v>
      </c>
      <c r="BB394" s="84"/>
      <c r="BC394" s="85"/>
      <c r="BD394" s="85"/>
    </row>
    <row r="395" spans="1:56" s="86" customFormat="1" ht="46.5" customHeight="1">
      <c r="A395" s="87">
        <v>390</v>
      </c>
      <c r="B395" s="79" t="s">
        <v>1938</v>
      </c>
      <c r="C395" s="88">
        <v>45418</v>
      </c>
      <c r="D395" s="89">
        <v>0.375</v>
      </c>
      <c r="E395" s="87" t="s">
        <v>58</v>
      </c>
      <c r="F395" s="87" t="s">
        <v>61</v>
      </c>
      <c r="G395" s="87" t="s">
        <v>62</v>
      </c>
      <c r="H395" s="90" t="s">
        <v>1904</v>
      </c>
      <c r="I395" s="90" t="s">
        <v>172</v>
      </c>
      <c r="J395" s="87" t="s">
        <v>70</v>
      </c>
      <c r="K395" s="87" t="s">
        <v>300</v>
      </c>
      <c r="L395" s="90" t="s">
        <v>72</v>
      </c>
      <c r="M395" s="91" t="s">
        <v>72</v>
      </c>
      <c r="N395" s="90" t="s">
        <v>72</v>
      </c>
      <c r="O395" s="90" t="str">
        <f t="shared" si="42"/>
        <v>Distrital</v>
      </c>
      <c r="P395" s="87" t="s">
        <v>73</v>
      </c>
      <c r="Q395" s="87"/>
      <c r="R395" s="87"/>
      <c r="S395" s="87"/>
      <c r="T395" s="87"/>
      <c r="U395" s="87"/>
      <c r="V395" s="90" t="str">
        <f t="shared" si="43"/>
        <v>Distrital</v>
      </c>
      <c r="W395" s="87" t="s">
        <v>73</v>
      </c>
      <c r="X395" s="87"/>
      <c r="Y395" s="87"/>
      <c r="Z395" s="87"/>
      <c r="AA395" s="87"/>
      <c r="AB395" s="87"/>
      <c r="AC395" s="90" t="str">
        <f t="shared" si="44"/>
        <v>Distrital</v>
      </c>
      <c r="AD395" s="87" t="s">
        <v>73</v>
      </c>
      <c r="AE395" s="87"/>
      <c r="AF395" s="87"/>
      <c r="AG395" s="87"/>
      <c r="AH395" s="87"/>
      <c r="AI395" s="87"/>
      <c r="AJ395" s="87"/>
      <c r="AK395" s="87"/>
      <c r="AL395" s="87"/>
      <c r="AM395" s="87"/>
      <c r="AN395" s="90" t="s">
        <v>1739</v>
      </c>
      <c r="AO395" s="90" t="s">
        <v>1740</v>
      </c>
      <c r="AP395" s="82"/>
      <c r="AQ395" s="87" t="s">
        <v>60</v>
      </c>
      <c r="AR395" s="87" t="s">
        <v>398</v>
      </c>
      <c r="AS395" s="82"/>
      <c r="AT395" s="87">
        <v>95</v>
      </c>
      <c r="AU395" s="87">
        <v>3</v>
      </c>
      <c r="AV395" s="87">
        <f t="shared" si="40"/>
        <v>98</v>
      </c>
      <c r="AW395" s="87" t="str">
        <f t="shared" si="41"/>
        <v>Horarios Acordes</v>
      </c>
      <c r="AX395" s="87" t="s">
        <v>213</v>
      </c>
      <c r="AY395" s="87"/>
      <c r="AZ395" s="87"/>
      <c r="BA395" s="91" t="s">
        <v>1939</v>
      </c>
      <c r="BB395" s="84"/>
      <c r="BC395" s="85"/>
      <c r="BD395" s="85"/>
    </row>
    <row r="396" spans="1:56" s="86" customFormat="1" ht="46.5" customHeight="1">
      <c r="A396" s="78">
        <v>391</v>
      </c>
      <c r="B396" s="79" t="s">
        <v>1940</v>
      </c>
      <c r="C396" s="88">
        <v>45418</v>
      </c>
      <c r="D396" s="89">
        <v>0.45833333333333331</v>
      </c>
      <c r="E396" s="87" t="s">
        <v>93</v>
      </c>
      <c r="F396" s="87" t="s">
        <v>1818</v>
      </c>
      <c r="G396" s="87" t="s">
        <v>62</v>
      </c>
      <c r="H396" s="90" t="s">
        <v>1941</v>
      </c>
      <c r="I396" s="90" t="s">
        <v>64</v>
      </c>
      <c r="J396" s="87" t="s">
        <v>119</v>
      </c>
      <c r="K396" s="87" t="s">
        <v>209</v>
      </c>
      <c r="L396" s="90" t="s">
        <v>72</v>
      </c>
      <c r="M396" s="91" t="s">
        <v>72</v>
      </c>
      <c r="N396" s="90" t="s">
        <v>72</v>
      </c>
      <c r="O396" s="90" t="str">
        <f t="shared" si="42"/>
        <v>Distrital</v>
      </c>
      <c r="P396" s="87" t="s">
        <v>73</v>
      </c>
      <c r="Q396" s="87"/>
      <c r="R396" s="87"/>
      <c r="S396" s="87"/>
      <c r="T396" s="87"/>
      <c r="U396" s="87"/>
      <c r="V396" s="90" t="str">
        <f t="shared" si="43"/>
        <v>Distrital</v>
      </c>
      <c r="W396" s="87" t="s">
        <v>73</v>
      </c>
      <c r="X396" s="87"/>
      <c r="Y396" s="87"/>
      <c r="Z396" s="87"/>
      <c r="AA396" s="87"/>
      <c r="AB396" s="87"/>
      <c r="AC396" s="90" t="str">
        <f t="shared" si="44"/>
        <v>Distrital</v>
      </c>
      <c r="AD396" s="87" t="s">
        <v>73</v>
      </c>
      <c r="AE396" s="87"/>
      <c r="AF396" s="87"/>
      <c r="AG396" s="87"/>
      <c r="AH396" s="87"/>
      <c r="AI396" s="87"/>
      <c r="AJ396" s="87"/>
      <c r="AK396" s="87"/>
      <c r="AL396" s="87"/>
      <c r="AM396" s="87"/>
      <c r="AN396" s="90" t="s">
        <v>160</v>
      </c>
      <c r="AO396" s="90" t="s">
        <v>1942</v>
      </c>
      <c r="AP396" s="82"/>
      <c r="AQ396" s="87" t="s">
        <v>59</v>
      </c>
      <c r="AR396" s="87" t="s">
        <v>80</v>
      </c>
      <c r="AS396" s="82"/>
      <c r="AT396" s="87">
        <v>6</v>
      </c>
      <c r="AU396" s="87">
        <v>4</v>
      </c>
      <c r="AV396" s="87">
        <f t="shared" si="40"/>
        <v>10</v>
      </c>
      <c r="AW396" s="87" t="str">
        <f t="shared" si="41"/>
        <v>No Aplica</v>
      </c>
      <c r="AX396" s="87" t="s">
        <v>78</v>
      </c>
      <c r="AY396" s="87"/>
      <c r="AZ396" s="87"/>
      <c r="BA396" s="91" t="s">
        <v>1943</v>
      </c>
      <c r="BB396" s="84"/>
      <c r="BC396" s="85"/>
      <c r="BD396" s="85"/>
    </row>
    <row r="397" spans="1:56" s="86" customFormat="1" ht="46.5" customHeight="1">
      <c r="A397" s="87">
        <v>392</v>
      </c>
      <c r="B397" s="79" t="s">
        <v>1944</v>
      </c>
      <c r="C397" s="88">
        <v>45418</v>
      </c>
      <c r="D397" s="89">
        <v>0.6875</v>
      </c>
      <c r="E397" s="87" t="s">
        <v>58</v>
      </c>
      <c r="F397" s="87" t="s">
        <v>61</v>
      </c>
      <c r="G397" s="87" t="s">
        <v>95</v>
      </c>
      <c r="H397" s="90" t="s">
        <v>1945</v>
      </c>
      <c r="I397" s="90" t="s">
        <v>188</v>
      </c>
      <c r="J397" s="87" t="s">
        <v>70</v>
      </c>
      <c r="K397" s="87" t="s">
        <v>104</v>
      </c>
      <c r="L397" s="90" t="s">
        <v>644</v>
      </c>
      <c r="M397" s="91">
        <v>3202149489</v>
      </c>
      <c r="N397" s="90" t="s">
        <v>1946</v>
      </c>
      <c r="O397" s="90" t="str">
        <f t="shared" si="42"/>
        <v>Sumapaz</v>
      </c>
      <c r="P397" s="87" t="s">
        <v>327</v>
      </c>
      <c r="Q397" s="87"/>
      <c r="R397" s="87"/>
      <c r="S397" s="87"/>
      <c r="T397" s="87"/>
      <c r="U397" s="87"/>
      <c r="V397" s="90" t="str">
        <f t="shared" si="43"/>
        <v>Ruralidad</v>
      </c>
      <c r="W397" s="87" t="s">
        <v>109</v>
      </c>
      <c r="X397" s="87"/>
      <c r="Y397" s="87"/>
      <c r="Z397" s="87"/>
      <c r="AA397" s="87"/>
      <c r="AB397" s="87"/>
      <c r="AC397" s="90" t="str">
        <f t="shared" si="44"/>
        <v>Sumapaz</v>
      </c>
      <c r="AD397" s="87" t="s">
        <v>327</v>
      </c>
      <c r="AE397" s="87"/>
      <c r="AF397" s="87"/>
      <c r="AG397" s="87"/>
      <c r="AH397" s="87"/>
      <c r="AI397" s="87"/>
      <c r="AJ397" s="87"/>
      <c r="AK397" s="87"/>
      <c r="AL397" s="87"/>
      <c r="AM397" s="87"/>
      <c r="AN397" s="90" t="s">
        <v>327</v>
      </c>
      <c r="AO397" s="90" t="s">
        <v>1947</v>
      </c>
      <c r="AP397" s="82"/>
      <c r="AQ397" s="87" t="s">
        <v>59</v>
      </c>
      <c r="AR397" s="87" t="s">
        <v>80</v>
      </c>
      <c r="AS397" s="82"/>
      <c r="AT397" s="87">
        <v>13</v>
      </c>
      <c r="AU397" s="87">
        <v>2</v>
      </c>
      <c r="AV397" s="87">
        <f t="shared" si="40"/>
        <v>15</v>
      </c>
      <c r="AW397" s="87" t="str">
        <f t="shared" si="41"/>
        <v>No Aplica</v>
      </c>
      <c r="AX397" s="87" t="s">
        <v>78</v>
      </c>
      <c r="AY397" s="87"/>
      <c r="AZ397" s="87"/>
      <c r="BA397" s="91" t="s">
        <v>1948</v>
      </c>
      <c r="BB397" s="84"/>
      <c r="BC397" s="85"/>
      <c r="BD397" s="85"/>
    </row>
    <row r="398" spans="1:56" s="86" customFormat="1" ht="46.5" customHeight="1">
      <c r="A398" s="78">
        <v>393</v>
      </c>
      <c r="B398" s="79" t="s">
        <v>1860</v>
      </c>
      <c r="C398" s="88">
        <v>45418</v>
      </c>
      <c r="D398" s="89">
        <v>0.70833333333333337</v>
      </c>
      <c r="E398" s="87" t="s">
        <v>93</v>
      </c>
      <c r="F398" s="87" t="s">
        <v>102</v>
      </c>
      <c r="G398" s="87" t="s">
        <v>95</v>
      </c>
      <c r="H398" s="90" t="s">
        <v>1949</v>
      </c>
      <c r="I398" s="90" t="s">
        <v>118</v>
      </c>
      <c r="J398" s="87" t="s">
        <v>119</v>
      </c>
      <c r="K398" s="87" t="s">
        <v>129</v>
      </c>
      <c r="L398" s="90" t="s">
        <v>1009</v>
      </c>
      <c r="M398" s="91">
        <v>3188799909</v>
      </c>
      <c r="N398" s="90" t="s">
        <v>439</v>
      </c>
      <c r="O398" s="90" t="str">
        <f t="shared" si="42"/>
        <v>Distrital</v>
      </c>
      <c r="P398" s="87" t="s">
        <v>73</v>
      </c>
      <c r="Q398" s="87"/>
      <c r="R398" s="87"/>
      <c r="S398" s="87"/>
      <c r="T398" s="87"/>
      <c r="U398" s="87"/>
      <c r="V398" s="90" t="str">
        <f t="shared" si="43"/>
        <v>Distrital</v>
      </c>
      <c r="W398" s="87" t="s">
        <v>73</v>
      </c>
      <c r="X398" s="87"/>
      <c r="Y398" s="87"/>
      <c r="Z398" s="87"/>
      <c r="AA398" s="87"/>
      <c r="AB398" s="87"/>
      <c r="AC398" s="90" t="str">
        <f t="shared" si="44"/>
        <v>Distrital</v>
      </c>
      <c r="AD398" s="87" t="s">
        <v>73</v>
      </c>
      <c r="AE398" s="87"/>
      <c r="AF398" s="87"/>
      <c r="AG398" s="87"/>
      <c r="AH398" s="87"/>
      <c r="AI398" s="87"/>
      <c r="AJ398" s="87"/>
      <c r="AK398" s="87"/>
      <c r="AL398" s="87"/>
      <c r="AM398" s="87"/>
      <c r="AN398" s="90" t="s">
        <v>160</v>
      </c>
      <c r="AO398" s="92" t="s">
        <v>1950</v>
      </c>
      <c r="AP398" s="82"/>
      <c r="AQ398" s="87" t="s">
        <v>59</v>
      </c>
      <c r="AR398" s="87" t="s">
        <v>80</v>
      </c>
      <c r="AS398" s="82"/>
      <c r="AT398" s="87">
        <v>64</v>
      </c>
      <c r="AU398" s="87">
        <v>2</v>
      </c>
      <c r="AV398" s="87">
        <f t="shared" si="40"/>
        <v>66</v>
      </c>
      <c r="AW398" s="87" t="str">
        <f t="shared" si="41"/>
        <v>No Aplica</v>
      </c>
      <c r="AX398" s="87" t="s">
        <v>78</v>
      </c>
      <c r="AY398" s="87"/>
      <c r="AZ398" s="87"/>
      <c r="BA398" s="91" t="s">
        <v>1951</v>
      </c>
      <c r="BB398" s="84"/>
      <c r="BC398" s="85"/>
      <c r="BD398" s="85"/>
    </row>
    <row r="399" spans="1:56" s="86" customFormat="1" ht="46.5" customHeight="1">
      <c r="A399" s="87">
        <v>394</v>
      </c>
      <c r="B399" s="79" t="s">
        <v>1952</v>
      </c>
      <c r="C399" s="88">
        <v>45419</v>
      </c>
      <c r="D399" s="89">
        <v>0.375</v>
      </c>
      <c r="E399" s="87" t="s">
        <v>58</v>
      </c>
      <c r="F399" s="87" t="s">
        <v>61</v>
      </c>
      <c r="G399" s="87" t="s">
        <v>62</v>
      </c>
      <c r="H399" s="90" t="s">
        <v>1737</v>
      </c>
      <c r="I399" s="90" t="s">
        <v>172</v>
      </c>
      <c r="J399" s="87" t="s">
        <v>70</v>
      </c>
      <c r="K399" s="87" t="s">
        <v>300</v>
      </c>
      <c r="L399" s="90" t="s">
        <v>1836</v>
      </c>
      <c r="M399" s="91">
        <v>3105844361</v>
      </c>
      <c r="N399" s="90" t="s">
        <v>1837</v>
      </c>
      <c r="O399" s="90" t="str">
        <f t="shared" si="42"/>
        <v>Distrital</v>
      </c>
      <c r="P399" s="87" t="s">
        <v>73</v>
      </c>
      <c r="Q399" s="87"/>
      <c r="R399" s="87"/>
      <c r="S399" s="87"/>
      <c r="T399" s="87"/>
      <c r="U399" s="87"/>
      <c r="V399" s="90" t="str">
        <f t="shared" si="43"/>
        <v>Distrital</v>
      </c>
      <c r="W399" s="87" t="s">
        <v>73</v>
      </c>
      <c r="X399" s="87"/>
      <c r="Y399" s="87"/>
      <c r="Z399" s="87"/>
      <c r="AA399" s="87"/>
      <c r="AB399" s="87"/>
      <c r="AC399" s="90" t="str">
        <f t="shared" si="44"/>
        <v>Distrital</v>
      </c>
      <c r="AD399" s="87" t="s">
        <v>73</v>
      </c>
      <c r="AE399" s="87"/>
      <c r="AF399" s="87"/>
      <c r="AG399" s="87"/>
      <c r="AH399" s="87"/>
      <c r="AI399" s="87"/>
      <c r="AJ399" s="87"/>
      <c r="AK399" s="87"/>
      <c r="AL399" s="87"/>
      <c r="AM399" s="87"/>
      <c r="AN399" s="90" t="s">
        <v>1739</v>
      </c>
      <c r="AO399" s="90" t="s">
        <v>1740</v>
      </c>
      <c r="AP399" s="82"/>
      <c r="AQ399" s="87" t="s">
        <v>60</v>
      </c>
      <c r="AR399" s="87" t="s">
        <v>1741</v>
      </c>
      <c r="AS399" s="82"/>
      <c r="AT399" s="87">
        <v>8</v>
      </c>
      <c r="AU399" s="87">
        <v>5</v>
      </c>
      <c r="AV399" s="87">
        <f t="shared" si="40"/>
        <v>13</v>
      </c>
      <c r="AW399" s="87" t="str">
        <f t="shared" si="41"/>
        <v>Ninguna</v>
      </c>
      <c r="AX399" s="87" t="s">
        <v>75</v>
      </c>
      <c r="AY399" s="87"/>
      <c r="AZ399" s="87"/>
      <c r="BA399" s="91" t="s">
        <v>1953</v>
      </c>
      <c r="BB399" s="84"/>
      <c r="BC399" s="85"/>
      <c r="BD399" s="85"/>
    </row>
    <row r="400" spans="1:56" s="86" customFormat="1" ht="46.5" customHeight="1">
      <c r="A400" s="78">
        <v>395</v>
      </c>
      <c r="B400" s="79" t="s">
        <v>1903</v>
      </c>
      <c r="C400" s="88">
        <v>45419</v>
      </c>
      <c r="D400" s="89">
        <v>0.375</v>
      </c>
      <c r="E400" s="87" t="s">
        <v>58</v>
      </c>
      <c r="F400" s="87" t="s">
        <v>61</v>
      </c>
      <c r="G400" s="87" t="s">
        <v>62</v>
      </c>
      <c r="H400" s="90" t="s">
        <v>1904</v>
      </c>
      <c r="I400" s="90" t="s">
        <v>172</v>
      </c>
      <c r="J400" s="87" t="s">
        <v>70</v>
      </c>
      <c r="K400" s="87" t="s">
        <v>300</v>
      </c>
      <c r="L400" s="90" t="s">
        <v>72</v>
      </c>
      <c r="M400" s="91" t="s">
        <v>72</v>
      </c>
      <c r="N400" s="90" t="s">
        <v>72</v>
      </c>
      <c r="O400" s="90" t="str">
        <f t="shared" si="42"/>
        <v>Distrital</v>
      </c>
      <c r="P400" s="87" t="s">
        <v>73</v>
      </c>
      <c r="Q400" s="87"/>
      <c r="R400" s="87"/>
      <c r="S400" s="87"/>
      <c r="T400" s="87"/>
      <c r="U400" s="87"/>
      <c r="V400" s="90" t="str">
        <f t="shared" si="43"/>
        <v>Distrital</v>
      </c>
      <c r="W400" s="87" t="s">
        <v>73</v>
      </c>
      <c r="X400" s="87"/>
      <c r="Y400" s="87"/>
      <c r="Z400" s="87"/>
      <c r="AA400" s="87"/>
      <c r="AB400" s="87"/>
      <c r="AC400" s="90" t="str">
        <f t="shared" si="44"/>
        <v>Distrital</v>
      </c>
      <c r="AD400" s="87" t="s">
        <v>73</v>
      </c>
      <c r="AE400" s="87"/>
      <c r="AF400" s="87"/>
      <c r="AG400" s="87"/>
      <c r="AH400" s="87"/>
      <c r="AI400" s="87"/>
      <c r="AJ400" s="87"/>
      <c r="AK400" s="87"/>
      <c r="AL400" s="87"/>
      <c r="AM400" s="87"/>
      <c r="AN400" s="90" t="s">
        <v>1739</v>
      </c>
      <c r="AO400" s="90" t="s">
        <v>1740</v>
      </c>
      <c r="AP400" s="82"/>
      <c r="AQ400" s="87" t="s">
        <v>60</v>
      </c>
      <c r="AR400" s="87" t="s">
        <v>1741</v>
      </c>
      <c r="AS400" s="82"/>
      <c r="AT400" s="87">
        <v>100</v>
      </c>
      <c r="AU400" s="87">
        <v>4</v>
      </c>
      <c r="AV400" s="87">
        <f t="shared" si="40"/>
        <v>104</v>
      </c>
      <c r="AW400" s="87" t="str">
        <f t="shared" si="41"/>
        <v>No Aplica</v>
      </c>
      <c r="AX400" s="87" t="s">
        <v>78</v>
      </c>
      <c r="AY400" s="87"/>
      <c r="AZ400" s="87"/>
      <c r="BA400" s="91" t="s">
        <v>1954</v>
      </c>
      <c r="BB400" s="84"/>
      <c r="BC400" s="85"/>
      <c r="BD400" s="85"/>
    </row>
    <row r="401" spans="1:56" s="86" customFormat="1" ht="46.5" customHeight="1">
      <c r="A401" s="87">
        <v>396</v>
      </c>
      <c r="B401" s="79" t="s">
        <v>1955</v>
      </c>
      <c r="C401" s="88">
        <v>45419</v>
      </c>
      <c r="D401" s="89">
        <v>0.4375</v>
      </c>
      <c r="E401" s="87" t="s">
        <v>93</v>
      </c>
      <c r="F401" s="87" t="s">
        <v>321</v>
      </c>
      <c r="G401" s="87" t="s">
        <v>62</v>
      </c>
      <c r="H401" s="90" t="s">
        <v>1087</v>
      </c>
      <c r="I401" s="90" t="s">
        <v>64</v>
      </c>
      <c r="J401" s="87" t="s">
        <v>70</v>
      </c>
      <c r="K401" s="87" t="s">
        <v>1810</v>
      </c>
      <c r="L401" s="90" t="s">
        <v>1956</v>
      </c>
      <c r="M401" s="91">
        <v>3103111780</v>
      </c>
      <c r="N401" s="90" t="s">
        <v>1957</v>
      </c>
      <c r="O401" s="90" t="str">
        <f t="shared" si="42"/>
        <v>Santa Fe</v>
      </c>
      <c r="P401" s="87" t="s">
        <v>541</v>
      </c>
      <c r="Q401" s="87"/>
      <c r="R401" s="87"/>
      <c r="S401" s="87"/>
      <c r="T401" s="87"/>
      <c r="U401" s="87"/>
      <c r="V401" s="90" t="str">
        <f t="shared" si="43"/>
        <v>Centro Ampliado, Ruralidad</v>
      </c>
      <c r="W401" s="87" t="s">
        <v>415</v>
      </c>
      <c r="X401" s="87" t="s">
        <v>109</v>
      </c>
      <c r="Y401" s="87"/>
      <c r="Z401" s="87"/>
      <c r="AA401" s="87"/>
      <c r="AB401" s="87"/>
      <c r="AC401" s="90" t="str">
        <f t="shared" si="44"/>
        <v>Centro Histórico, Cerros Orientales</v>
      </c>
      <c r="AD401" s="87" t="s">
        <v>488</v>
      </c>
      <c r="AE401" s="87" t="s">
        <v>222</v>
      </c>
      <c r="AF401" s="87"/>
      <c r="AG401" s="87"/>
      <c r="AH401" s="87"/>
      <c r="AI401" s="87"/>
      <c r="AJ401" s="87"/>
      <c r="AK401" s="87"/>
      <c r="AL401" s="87"/>
      <c r="AM401" s="87"/>
      <c r="AN401" s="90" t="s">
        <v>1649</v>
      </c>
      <c r="AO401" s="90" t="s">
        <v>1958</v>
      </c>
      <c r="AP401" s="82"/>
      <c r="AQ401" s="87" t="s">
        <v>59</v>
      </c>
      <c r="AR401" s="87" t="s">
        <v>80</v>
      </c>
      <c r="AS401" s="82"/>
      <c r="AT401" s="87">
        <v>19</v>
      </c>
      <c r="AU401" s="87">
        <v>1</v>
      </c>
      <c r="AV401" s="87">
        <f t="shared" si="40"/>
        <v>20</v>
      </c>
      <c r="AW401" s="87" t="str">
        <f t="shared" si="41"/>
        <v>No Aplica</v>
      </c>
      <c r="AX401" s="87" t="s">
        <v>78</v>
      </c>
      <c r="AY401" s="87"/>
      <c r="AZ401" s="87"/>
      <c r="BA401" s="91" t="s">
        <v>1959</v>
      </c>
      <c r="BB401" s="84"/>
      <c r="BC401" s="85"/>
      <c r="BD401" s="85"/>
    </row>
    <row r="402" spans="1:56" s="86" customFormat="1" ht="46.5" customHeight="1">
      <c r="A402" s="78">
        <v>397</v>
      </c>
      <c r="B402" s="79" t="s">
        <v>1096</v>
      </c>
      <c r="C402" s="88">
        <v>45419</v>
      </c>
      <c r="D402" s="89">
        <v>0.58333333333333337</v>
      </c>
      <c r="E402" s="87" t="s">
        <v>93</v>
      </c>
      <c r="F402" s="87" t="s">
        <v>321</v>
      </c>
      <c r="G402" s="87" t="s">
        <v>62</v>
      </c>
      <c r="H402" s="90" t="s">
        <v>1960</v>
      </c>
      <c r="I402" s="90" t="s">
        <v>64</v>
      </c>
      <c r="J402" s="87" t="s">
        <v>70</v>
      </c>
      <c r="K402" s="87" t="s">
        <v>1810</v>
      </c>
      <c r="L402" s="90" t="s">
        <v>1098</v>
      </c>
      <c r="M402" s="91">
        <v>3188356139</v>
      </c>
      <c r="N402" s="90" t="s">
        <v>1099</v>
      </c>
      <c r="O402" s="90" t="str">
        <f t="shared" si="42"/>
        <v>Fontibón</v>
      </c>
      <c r="P402" s="87" t="s">
        <v>420</v>
      </c>
      <c r="Q402" s="87"/>
      <c r="R402" s="87"/>
      <c r="S402" s="87"/>
      <c r="T402" s="87"/>
      <c r="U402" s="87"/>
      <c r="V402" s="90" t="str">
        <f t="shared" si="43"/>
        <v>Occidente</v>
      </c>
      <c r="W402" s="87" t="s">
        <v>124</v>
      </c>
      <c r="X402" s="87"/>
      <c r="Y402" s="87"/>
      <c r="Z402" s="87"/>
      <c r="AA402" s="87"/>
      <c r="AB402" s="87"/>
      <c r="AC402" s="90" t="str">
        <f t="shared" si="44"/>
        <v>Fontibón, Salitre</v>
      </c>
      <c r="AD402" s="87" t="s">
        <v>420</v>
      </c>
      <c r="AE402" s="87" t="s">
        <v>258</v>
      </c>
      <c r="AF402" s="87"/>
      <c r="AG402" s="87"/>
      <c r="AH402" s="87"/>
      <c r="AI402" s="87"/>
      <c r="AJ402" s="87"/>
      <c r="AK402" s="87"/>
      <c r="AL402" s="87"/>
      <c r="AM402" s="87"/>
      <c r="AN402" s="90" t="s">
        <v>420</v>
      </c>
      <c r="AO402" s="90" t="s">
        <v>1961</v>
      </c>
      <c r="AP402" s="82"/>
      <c r="AQ402" s="87" t="s">
        <v>59</v>
      </c>
      <c r="AR402" s="87" t="s">
        <v>80</v>
      </c>
      <c r="AS402" s="82"/>
      <c r="AT402" s="87">
        <v>22</v>
      </c>
      <c r="AU402" s="87">
        <v>2</v>
      </c>
      <c r="AV402" s="87">
        <f t="shared" si="40"/>
        <v>24</v>
      </c>
      <c r="AW402" s="87" t="str">
        <f t="shared" si="41"/>
        <v>No Aplica</v>
      </c>
      <c r="AX402" s="87" t="s">
        <v>78</v>
      </c>
      <c r="AY402" s="87"/>
      <c r="AZ402" s="87"/>
      <c r="BA402" s="91" t="s">
        <v>1962</v>
      </c>
      <c r="BB402" s="84"/>
      <c r="BC402" s="85"/>
      <c r="BD402" s="85"/>
    </row>
    <row r="403" spans="1:56" s="86" customFormat="1" ht="46.5" customHeight="1">
      <c r="A403" s="87">
        <v>398</v>
      </c>
      <c r="B403" s="79" t="s">
        <v>1963</v>
      </c>
      <c r="C403" s="88">
        <v>45419</v>
      </c>
      <c r="D403" s="89">
        <v>0.625</v>
      </c>
      <c r="E403" s="87" t="s">
        <v>58</v>
      </c>
      <c r="F403" s="87" t="s">
        <v>1205</v>
      </c>
      <c r="G403" s="87" t="s">
        <v>62</v>
      </c>
      <c r="H403" s="90" t="s">
        <v>1964</v>
      </c>
      <c r="I403" s="90" t="s">
        <v>64</v>
      </c>
      <c r="J403" s="87" t="s">
        <v>70</v>
      </c>
      <c r="K403" s="87"/>
      <c r="L403" s="90" t="s">
        <v>1965</v>
      </c>
      <c r="M403" s="91">
        <v>3173738376</v>
      </c>
      <c r="N403" s="90" t="s">
        <v>1966</v>
      </c>
      <c r="O403" s="90" t="str">
        <f t="shared" si="42"/>
        <v>Distrital</v>
      </c>
      <c r="P403" s="87" t="s">
        <v>73</v>
      </c>
      <c r="Q403" s="87"/>
      <c r="R403" s="87"/>
      <c r="S403" s="87"/>
      <c r="T403" s="87"/>
      <c r="U403" s="87"/>
      <c r="V403" s="90" t="str">
        <f t="shared" si="43"/>
        <v>Distrital</v>
      </c>
      <c r="W403" s="87" t="s">
        <v>73</v>
      </c>
      <c r="X403" s="87"/>
      <c r="Y403" s="87"/>
      <c r="Z403" s="87"/>
      <c r="AA403" s="87"/>
      <c r="AB403" s="87"/>
      <c r="AC403" s="90" t="str">
        <f t="shared" si="44"/>
        <v>Distrital</v>
      </c>
      <c r="AD403" s="87" t="s">
        <v>73</v>
      </c>
      <c r="AE403" s="87"/>
      <c r="AF403" s="87"/>
      <c r="AG403" s="87"/>
      <c r="AH403" s="87"/>
      <c r="AI403" s="87"/>
      <c r="AJ403" s="87"/>
      <c r="AK403" s="87"/>
      <c r="AL403" s="87"/>
      <c r="AM403" s="87"/>
      <c r="AN403" s="90" t="s">
        <v>160</v>
      </c>
      <c r="AO403" s="90" t="s">
        <v>1967</v>
      </c>
      <c r="AP403" s="82"/>
      <c r="AQ403" s="87" t="s">
        <v>59</v>
      </c>
      <c r="AR403" s="87" t="s">
        <v>80</v>
      </c>
      <c r="AS403" s="82"/>
      <c r="AT403" s="87">
        <v>6</v>
      </c>
      <c r="AU403" s="87">
        <v>2</v>
      </c>
      <c r="AV403" s="87">
        <f t="shared" si="40"/>
        <v>8</v>
      </c>
      <c r="AW403" s="87" t="str">
        <f t="shared" si="41"/>
        <v>No Aplica</v>
      </c>
      <c r="AX403" s="87" t="s">
        <v>78</v>
      </c>
      <c r="AY403" s="87"/>
      <c r="AZ403" s="87"/>
      <c r="BA403" s="91" t="s">
        <v>1968</v>
      </c>
      <c r="BB403" s="84"/>
      <c r="BC403" s="85"/>
      <c r="BD403" s="85"/>
    </row>
    <row r="404" spans="1:56" s="86" customFormat="1" ht="46.5" customHeight="1">
      <c r="A404" s="78">
        <v>399</v>
      </c>
      <c r="B404" s="79" t="s">
        <v>1969</v>
      </c>
      <c r="C404" s="88">
        <v>45419</v>
      </c>
      <c r="D404" s="89">
        <v>0.625</v>
      </c>
      <c r="E404" s="87" t="s">
        <v>58</v>
      </c>
      <c r="F404" s="87" t="s">
        <v>61</v>
      </c>
      <c r="G404" s="87" t="s">
        <v>62</v>
      </c>
      <c r="H404" s="90" t="s">
        <v>1970</v>
      </c>
      <c r="I404" s="90" t="s">
        <v>64</v>
      </c>
      <c r="J404" s="87" t="s">
        <v>173</v>
      </c>
      <c r="K404" s="87"/>
      <c r="L404" s="90" t="s">
        <v>1120</v>
      </c>
      <c r="M404" s="91">
        <v>3046044496</v>
      </c>
      <c r="N404" s="90" t="s">
        <v>1121</v>
      </c>
      <c r="O404" s="90" t="str">
        <f t="shared" si="42"/>
        <v>Distrital</v>
      </c>
      <c r="P404" s="87" t="s">
        <v>73</v>
      </c>
      <c r="Q404" s="87"/>
      <c r="R404" s="87"/>
      <c r="S404" s="87"/>
      <c r="T404" s="87"/>
      <c r="U404" s="87"/>
      <c r="V404" s="90" t="str">
        <f t="shared" si="43"/>
        <v>Distrital</v>
      </c>
      <c r="W404" s="87" t="s">
        <v>73</v>
      </c>
      <c r="X404" s="87"/>
      <c r="Y404" s="87"/>
      <c r="Z404" s="87"/>
      <c r="AA404" s="87"/>
      <c r="AB404" s="87"/>
      <c r="AC404" s="90" t="str">
        <f t="shared" si="44"/>
        <v>Distrital</v>
      </c>
      <c r="AD404" s="87" t="s">
        <v>73</v>
      </c>
      <c r="AE404" s="87"/>
      <c r="AF404" s="87"/>
      <c r="AG404" s="87"/>
      <c r="AH404" s="87"/>
      <c r="AI404" s="87"/>
      <c r="AJ404" s="87"/>
      <c r="AK404" s="87"/>
      <c r="AL404" s="87"/>
      <c r="AM404" s="87"/>
      <c r="AN404" s="90" t="s">
        <v>160</v>
      </c>
      <c r="AO404" s="90" t="s">
        <v>1971</v>
      </c>
      <c r="AP404" s="82"/>
      <c r="AQ404" s="87" t="s">
        <v>59</v>
      </c>
      <c r="AR404" s="87" t="s">
        <v>80</v>
      </c>
      <c r="AS404" s="82"/>
      <c r="AT404" s="87">
        <v>9</v>
      </c>
      <c r="AU404" s="87">
        <v>1</v>
      </c>
      <c r="AV404" s="87">
        <f t="shared" si="40"/>
        <v>10</v>
      </c>
      <c r="AW404" s="87" t="str">
        <f t="shared" si="41"/>
        <v>No Aplica</v>
      </c>
      <c r="AX404" s="87" t="s">
        <v>78</v>
      </c>
      <c r="AY404" s="87"/>
      <c r="AZ404" s="87"/>
      <c r="BA404" s="91" t="s">
        <v>1972</v>
      </c>
      <c r="BB404" s="84"/>
      <c r="BC404" s="85"/>
      <c r="BD404" s="85"/>
    </row>
    <row r="405" spans="1:56" s="86" customFormat="1" ht="46.5" customHeight="1">
      <c r="A405" s="87">
        <v>400</v>
      </c>
      <c r="B405" s="79" t="s">
        <v>1973</v>
      </c>
      <c r="C405" s="88">
        <v>45420</v>
      </c>
      <c r="D405" s="89">
        <v>0.375</v>
      </c>
      <c r="E405" s="87" t="s">
        <v>58</v>
      </c>
      <c r="F405" s="87" t="s">
        <v>61</v>
      </c>
      <c r="G405" s="87" t="s">
        <v>62</v>
      </c>
      <c r="H405" s="90" t="s">
        <v>1737</v>
      </c>
      <c r="I405" s="90" t="s">
        <v>172</v>
      </c>
      <c r="J405" s="87" t="s">
        <v>70</v>
      </c>
      <c r="K405" s="87" t="s">
        <v>300</v>
      </c>
      <c r="L405" s="90" t="s">
        <v>72</v>
      </c>
      <c r="M405" s="91" t="s">
        <v>72</v>
      </c>
      <c r="N405" s="90" t="s">
        <v>72</v>
      </c>
      <c r="O405" s="90" t="str">
        <f t="shared" si="42"/>
        <v>Distrital</v>
      </c>
      <c r="P405" s="87" t="s">
        <v>73</v>
      </c>
      <c r="Q405" s="87"/>
      <c r="R405" s="87"/>
      <c r="S405" s="87"/>
      <c r="T405" s="87"/>
      <c r="U405" s="87"/>
      <c r="V405" s="90" t="str">
        <f t="shared" si="43"/>
        <v>Distrital</v>
      </c>
      <c r="W405" s="87" t="s">
        <v>73</v>
      </c>
      <c r="X405" s="87"/>
      <c r="Y405" s="87"/>
      <c r="Z405" s="87"/>
      <c r="AA405" s="87"/>
      <c r="AB405" s="87"/>
      <c r="AC405" s="90" t="str">
        <f t="shared" si="44"/>
        <v>Distrital</v>
      </c>
      <c r="AD405" s="87" t="s">
        <v>73</v>
      </c>
      <c r="AE405" s="87"/>
      <c r="AF405" s="87"/>
      <c r="AG405" s="87"/>
      <c r="AH405" s="87"/>
      <c r="AI405" s="87"/>
      <c r="AJ405" s="87"/>
      <c r="AK405" s="87"/>
      <c r="AL405" s="87"/>
      <c r="AM405" s="87"/>
      <c r="AN405" s="90" t="s">
        <v>1739</v>
      </c>
      <c r="AO405" s="90" t="s">
        <v>1740</v>
      </c>
      <c r="AP405" s="82"/>
      <c r="AQ405" s="87" t="s">
        <v>60</v>
      </c>
      <c r="AR405" s="87" t="s">
        <v>1741</v>
      </c>
      <c r="AS405" s="82"/>
      <c r="AT405" s="87">
        <v>9</v>
      </c>
      <c r="AU405" s="87">
        <v>4</v>
      </c>
      <c r="AV405" s="87">
        <f t="shared" si="40"/>
        <v>13</v>
      </c>
      <c r="AW405" s="87" t="str">
        <f t="shared" si="41"/>
        <v>Ninguna</v>
      </c>
      <c r="AX405" s="87" t="s">
        <v>75</v>
      </c>
      <c r="AY405" s="87"/>
      <c r="AZ405" s="87"/>
      <c r="BA405" s="91" t="s">
        <v>1974</v>
      </c>
      <c r="BB405" s="84"/>
      <c r="BC405" s="85"/>
      <c r="BD405" s="85"/>
    </row>
    <row r="406" spans="1:56" s="86" customFormat="1" ht="46.5" customHeight="1">
      <c r="A406" s="78">
        <v>401</v>
      </c>
      <c r="B406" s="79" t="s">
        <v>661</v>
      </c>
      <c r="C406" s="88">
        <v>45420</v>
      </c>
      <c r="D406" s="89">
        <v>0.35416666666666669</v>
      </c>
      <c r="E406" s="87" t="s">
        <v>93</v>
      </c>
      <c r="F406" s="87" t="s">
        <v>321</v>
      </c>
      <c r="G406" s="87" t="s">
        <v>62</v>
      </c>
      <c r="H406" s="90" t="s">
        <v>662</v>
      </c>
      <c r="I406" s="90" t="s">
        <v>64</v>
      </c>
      <c r="J406" s="87" t="s">
        <v>70</v>
      </c>
      <c r="K406" s="87" t="s">
        <v>1810</v>
      </c>
      <c r="L406" s="90" t="s">
        <v>1975</v>
      </c>
      <c r="M406" s="91" t="s">
        <v>1976</v>
      </c>
      <c r="N406" s="90" t="s">
        <v>1335</v>
      </c>
      <c r="O406" s="90" t="str">
        <f t="shared" si="42"/>
        <v>Teusaquillo</v>
      </c>
      <c r="P406" s="87" t="s">
        <v>665</v>
      </c>
      <c r="Q406" s="87"/>
      <c r="R406" s="87"/>
      <c r="S406" s="87"/>
      <c r="T406" s="87"/>
      <c r="U406" s="87"/>
      <c r="V406" s="90" t="str">
        <f t="shared" si="43"/>
        <v>Centro Ampliado</v>
      </c>
      <c r="W406" s="87" t="s">
        <v>415</v>
      </c>
      <c r="X406" s="87"/>
      <c r="Y406" s="87"/>
      <c r="Z406" s="87"/>
      <c r="AA406" s="87"/>
      <c r="AB406" s="87"/>
      <c r="AC406" s="90" t="str">
        <f t="shared" si="44"/>
        <v>Teusaquillo</v>
      </c>
      <c r="AD406" s="87" t="s">
        <v>665</v>
      </c>
      <c r="AE406" s="87"/>
      <c r="AF406" s="87"/>
      <c r="AG406" s="87"/>
      <c r="AH406" s="87"/>
      <c r="AI406" s="87"/>
      <c r="AJ406" s="87"/>
      <c r="AK406" s="87"/>
      <c r="AL406" s="87"/>
      <c r="AM406" s="87"/>
      <c r="AN406" s="90" t="s">
        <v>1686</v>
      </c>
      <c r="AO406" s="90" t="s">
        <v>1977</v>
      </c>
      <c r="AP406" s="82"/>
      <c r="AQ406" s="87" t="s">
        <v>59</v>
      </c>
      <c r="AR406" s="87" t="s">
        <v>80</v>
      </c>
      <c r="AS406" s="82"/>
      <c r="AT406" s="87">
        <v>17</v>
      </c>
      <c r="AU406" s="87">
        <v>1</v>
      </c>
      <c r="AV406" s="87">
        <f t="shared" si="40"/>
        <v>18</v>
      </c>
      <c r="AW406" s="87" t="str">
        <f t="shared" si="41"/>
        <v>No Aplica</v>
      </c>
      <c r="AX406" s="87" t="s">
        <v>78</v>
      </c>
      <c r="AY406" s="87"/>
      <c r="AZ406" s="87"/>
      <c r="BA406" s="91" t="s">
        <v>1978</v>
      </c>
      <c r="BB406" s="84"/>
      <c r="BC406" s="85"/>
      <c r="BD406" s="85"/>
    </row>
    <row r="407" spans="1:56" s="86" customFormat="1" ht="46.5" customHeight="1">
      <c r="A407" s="87">
        <v>402</v>
      </c>
      <c r="B407" s="79" t="s">
        <v>1903</v>
      </c>
      <c r="C407" s="88">
        <v>45420</v>
      </c>
      <c r="D407" s="89">
        <v>0.375</v>
      </c>
      <c r="E407" s="87" t="s">
        <v>58</v>
      </c>
      <c r="F407" s="87" t="s">
        <v>61</v>
      </c>
      <c r="G407" s="87" t="s">
        <v>95</v>
      </c>
      <c r="H407" s="90" t="s">
        <v>1904</v>
      </c>
      <c r="I407" s="90" t="s">
        <v>172</v>
      </c>
      <c r="J407" s="87" t="s">
        <v>70</v>
      </c>
      <c r="K407" s="87" t="s">
        <v>300</v>
      </c>
      <c r="L407" s="90" t="s">
        <v>72</v>
      </c>
      <c r="M407" s="91" t="s">
        <v>72</v>
      </c>
      <c r="N407" s="90" t="s">
        <v>72</v>
      </c>
      <c r="O407" s="90" t="str">
        <f t="shared" si="42"/>
        <v>Distrital</v>
      </c>
      <c r="P407" s="87" t="s">
        <v>73</v>
      </c>
      <c r="Q407" s="87"/>
      <c r="R407" s="87"/>
      <c r="S407" s="87"/>
      <c r="T407" s="87"/>
      <c r="U407" s="87"/>
      <c r="V407" s="90" t="str">
        <f t="shared" si="43"/>
        <v>Distrital</v>
      </c>
      <c r="W407" s="87" t="s">
        <v>73</v>
      </c>
      <c r="X407" s="87"/>
      <c r="Y407" s="87"/>
      <c r="Z407" s="87"/>
      <c r="AA407" s="87"/>
      <c r="AB407" s="87"/>
      <c r="AC407" s="90" t="str">
        <f t="shared" si="44"/>
        <v>Distrital</v>
      </c>
      <c r="AD407" s="87" t="s">
        <v>73</v>
      </c>
      <c r="AE407" s="87"/>
      <c r="AF407" s="87"/>
      <c r="AG407" s="87"/>
      <c r="AH407" s="87"/>
      <c r="AI407" s="87"/>
      <c r="AJ407" s="87"/>
      <c r="AK407" s="87"/>
      <c r="AL407" s="87"/>
      <c r="AM407" s="87"/>
      <c r="AN407" s="90" t="s">
        <v>1739</v>
      </c>
      <c r="AO407" s="90" t="s">
        <v>1740</v>
      </c>
      <c r="AP407" s="82"/>
      <c r="AQ407" s="87" t="s">
        <v>60</v>
      </c>
      <c r="AR407" s="87" t="s">
        <v>1741</v>
      </c>
      <c r="AS407" s="82"/>
      <c r="AT407" s="87">
        <v>225</v>
      </c>
      <c r="AU407" s="87">
        <v>4</v>
      </c>
      <c r="AV407" s="87">
        <f t="shared" si="40"/>
        <v>229</v>
      </c>
      <c r="AW407" s="87" t="str">
        <f t="shared" si="41"/>
        <v>Horarios Acordes</v>
      </c>
      <c r="AX407" s="87" t="s">
        <v>213</v>
      </c>
      <c r="AY407" s="87"/>
      <c r="AZ407" s="87"/>
      <c r="BA407" s="91" t="s">
        <v>1979</v>
      </c>
      <c r="BB407" s="84"/>
      <c r="BC407" s="85"/>
      <c r="BD407" s="85"/>
    </row>
    <row r="408" spans="1:56" s="86" customFormat="1" ht="46.5" customHeight="1">
      <c r="A408" s="78">
        <v>403</v>
      </c>
      <c r="B408" s="79" t="s">
        <v>655</v>
      </c>
      <c r="C408" s="88">
        <v>45420</v>
      </c>
      <c r="D408" s="89">
        <v>0.41666666666666669</v>
      </c>
      <c r="E408" s="87" t="s">
        <v>93</v>
      </c>
      <c r="F408" s="87" t="s">
        <v>321</v>
      </c>
      <c r="G408" s="87" t="s">
        <v>95</v>
      </c>
      <c r="H408" s="90" t="s">
        <v>1359</v>
      </c>
      <c r="I408" s="90" t="s">
        <v>64</v>
      </c>
      <c r="J408" s="87" t="s">
        <v>70</v>
      </c>
      <c r="K408" s="87" t="s">
        <v>1810</v>
      </c>
      <c r="L408" s="90" t="s">
        <v>1980</v>
      </c>
      <c r="M408" s="91">
        <v>3002578468</v>
      </c>
      <c r="N408" s="90" t="s">
        <v>1981</v>
      </c>
      <c r="O408" s="90" t="str">
        <f t="shared" si="42"/>
        <v>Antonio Nariño</v>
      </c>
      <c r="P408" s="87" t="s">
        <v>413</v>
      </c>
      <c r="Q408" s="87"/>
      <c r="R408" s="87"/>
      <c r="S408" s="87"/>
      <c r="T408" s="87"/>
      <c r="U408" s="87"/>
      <c r="V408" s="90" t="str">
        <f t="shared" si="43"/>
        <v>Centro Ampliado</v>
      </c>
      <c r="W408" s="87" t="s">
        <v>415</v>
      </c>
      <c r="X408" s="87"/>
      <c r="Y408" s="87"/>
      <c r="Z408" s="87"/>
      <c r="AA408" s="87"/>
      <c r="AB408" s="87"/>
      <c r="AC408" s="90" t="str">
        <f t="shared" si="44"/>
        <v>Restrepo</v>
      </c>
      <c r="AD408" s="87" t="s">
        <v>416</v>
      </c>
      <c r="AE408" s="87"/>
      <c r="AF408" s="87"/>
      <c r="AG408" s="87"/>
      <c r="AH408" s="87"/>
      <c r="AI408" s="87"/>
      <c r="AJ408" s="87"/>
      <c r="AK408" s="87"/>
      <c r="AL408" s="87"/>
      <c r="AM408" s="87"/>
      <c r="AN408" s="90" t="s">
        <v>416</v>
      </c>
      <c r="AO408" s="92" t="s">
        <v>1982</v>
      </c>
      <c r="AP408" s="82"/>
      <c r="AQ408" s="87" t="s">
        <v>59</v>
      </c>
      <c r="AR408" s="87" t="s">
        <v>80</v>
      </c>
      <c r="AS408" s="82"/>
      <c r="AT408" s="87">
        <v>22</v>
      </c>
      <c r="AU408" s="87">
        <v>1</v>
      </c>
      <c r="AV408" s="87">
        <f t="shared" si="40"/>
        <v>23</v>
      </c>
      <c r="AW408" s="87" t="str">
        <f t="shared" si="41"/>
        <v>No Aplica</v>
      </c>
      <c r="AX408" s="87" t="s">
        <v>78</v>
      </c>
      <c r="AY408" s="87"/>
      <c r="AZ408" s="87"/>
      <c r="BA408" s="91" t="s">
        <v>1983</v>
      </c>
      <c r="BB408" s="84"/>
      <c r="BC408" s="85"/>
      <c r="BD408" s="85"/>
    </row>
    <row r="409" spans="1:56" s="86" customFormat="1" ht="46.5" customHeight="1">
      <c r="A409" s="87">
        <v>404</v>
      </c>
      <c r="B409" s="79" t="s">
        <v>1984</v>
      </c>
      <c r="C409" s="88">
        <v>45420</v>
      </c>
      <c r="D409" s="89">
        <v>0.625</v>
      </c>
      <c r="E409" s="87" t="s">
        <v>93</v>
      </c>
      <c r="F409" s="87" t="s">
        <v>102</v>
      </c>
      <c r="G409" s="87" t="s">
        <v>62</v>
      </c>
      <c r="H409" s="90" t="s">
        <v>1985</v>
      </c>
      <c r="I409" s="90" t="s">
        <v>118</v>
      </c>
      <c r="J409" s="87" t="s">
        <v>119</v>
      </c>
      <c r="K409" s="87" t="s">
        <v>129</v>
      </c>
      <c r="L409" s="90" t="s">
        <v>1286</v>
      </c>
      <c r="M409" s="91">
        <v>3108148740</v>
      </c>
      <c r="N409" s="90" t="s">
        <v>439</v>
      </c>
      <c r="O409" s="90" t="str">
        <f t="shared" si="42"/>
        <v>Distrital</v>
      </c>
      <c r="P409" s="87" t="s">
        <v>73</v>
      </c>
      <c r="Q409" s="87"/>
      <c r="R409" s="87"/>
      <c r="S409" s="87"/>
      <c r="T409" s="87"/>
      <c r="U409" s="87"/>
      <c r="V409" s="90" t="str">
        <f t="shared" si="43"/>
        <v>Distrital</v>
      </c>
      <c r="W409" s="87" t="s">
        <v>73</v>
      </c>
      <c r="X409" s="87"/>
      <c r="Y409" s="87"/>
      <c r="Z409" s="87"/>
      <c r="AA409" s="87"/>
      <c r="AB409" s="87"/>
      <c r="AC409" s="90" t="str">
        <f t="shared" si="44"/>
        <v>Distrital</v>
      </c>
      <c r="AD409" s="87" t="s">
        <v>73</v>
      </c>
      <c r="AE409" s="87"/>
      <c r="AF409" s="87"/>
      <c r="AG409" s="87"/>
      <c r="AH409" s="87"/>
      <c r="AI409" s="87"/>
      <c r="AJ409" s="87"/>
      <c r="AK409" s="87"/>
      <c r="AL409" s="87"/>
      <c r="AM409" s="87"/>
      <c r="AN409" s="90" t="s">
        <v>160</v>
      </c>
      <c r="AO409" s="90" t="s">
        <v>1986</v>
      </c>
      <c r="AP409" s="82"/>
      <c r="AQ409" s="87" t="s">
        <v>59</v>
      </c>
      <c r="AR409" s="87" t="s">
        <v>80</v>
      </c>
      <c r="AS409" s="82"/>
      <c r="AT409" s="87">
        <v>2</v>
      </c>
      <c r="AU409" s="87">
        <v>3</v>
      </c>
      <c r="AV409" s="87">
        <f t="shared" si="40"/>
        <v>5</v>
      </c>
      <c r="AW409" s="87" t="str">
        <f t="shared" si="41"/>
        <v>No Aplica</v>
      </c>
      <c r="AX409" s="87" t="s">
        <v>78</v>
      </c>
      <c r="AY409" s="87"/>
      <c r="AZ409" s="87"/>
      <c r="BA409" s="91" t="s">
        <v>1987</v>
      </c>
      <c r="BB409" s="84"/>
      <c r="BC409" s="85"/>
      <c r="BD409" s="85"/>
    </row>
    <row r="410" spans="1:56" s="86" customFormat="1" ht="46.5" customHeight="1">
      <c r="A410" s="78">
        <v>405</v>
      </c>
      <c r="B410" s="79" t="s">
        <v>1988</v>
      </c>
      <c r="C410" s="88">
        <v>45420</v>
      </c>
      <c r="D410" s="89">
        <v>0.66666666666666663</v>
      </c>
      <c r="E410" s="87" t="s">
        <v>93</v>
      </c>
      <c r="F410" s="87" t="s">
        <v>102</v>
      </c>
      <c r="G410" s="87" t="s">
        <v>95</v>
      </c>
      <c r="H410" s="90" t="s">
        <v>1989</v>
      </c>
      <c r="I410" s="90" t="s">
        <v>118</v>
      </c>
      <c r="J410" s="87" t="s">
        <v>119</v>
      </c>
      <c r="K410" s="87" t="s">
        <v>129</v>
      </c>
      <c r="L410" s="90" t="s">
        <v>881</v>
      </c>
      <c r="M410" s="91" t="s">
        <v>882</v>
      </c>
      <c r="N410" s="90" t="s">
        <v>883</v>
      </c>
      <c r="O410" s="90" t="str">
        <f t="shared" si="42"/>
        <v>Distrital</v>
      </c>
      <c r="P410" s="87" t="s">
        <v>73</v>
      </c>
      <c r="Q410" s="87"/>
      <c r="R410" s="87"/>
      <c r="S410" s="87"/>
      <c r="T410" s="87"/>
      <c r="U410" s="87"/>
      <c r="V410" s="90" t="str">
        <f t="shared" si="43"/>
        <v>Distrital</v>
      </c>
      <c r="W410" s="87" t="s">
        <v>73</v>
      </c>
      <c r="X410" s="87"/>
      <c r="Y410" s="87"/>
      <c r="Z410" s="87"/>
      <c r="AA410" s="87"/>
      <c r="AB410" s="87"/>
      <c r="AC410" s="90" t="str">
        <f t="shared" si="44"/>
        <v>Distrital</v>
      </c>
      <c r="AD410" s="87" t="s">
        <v>73</v>
      </c>
      <c r="AE410" s="87"/>
      <c r="AF410" s="87"/>
      <c r="AG410" s="87"/>
      <c r="AH410" s="87"/>
      <c r="AI410" s="87"/>
      <c r="AJ410" s="87"/>
      <c r="AK410" s="87"/>
      <c r="AL410" s="87"/>
      <c r="AM410" s="87"/>
      <c r="AN410" s="90" t="s">
        <v>160</v>
      </c>
      <c r="AO410" s="92" t="s">
        <v>1990</v>
      </c>
      <c r="AP410" s="82"/>
      <c r="AQ410" s="87" t="s">
        <v>59</v>
      </c>
      <c r="AR410" s="87" t="s">
        <v>80</v>
      </c>
      <c r="AS410" s="82"/>
      <c r="AT410" s="87">
        <v>7</v>
      </c>
      <c r="AU410" s="87">
        <v>1</v>
      </c>
      <c r="AV410" s="87">
        <f t="shared" si="40"/>
        <v>8</v>
      </c>
      <c r="AW410" s="87" t="str">
        <f t="shared" si="41"/>
        <v>No Aplica</v>
      </c>
      <c r="AX410" s="87" t="s">
        <v>78</v>
      </c>
      <c r="AY410" s="87"/>
      <c r="AZ410" s="87"/>
      <c r="BA410" s="91" t="s">
        <v>1991</v>
      </c>
      <c r="BB410" s="84"/>
      <c r="BC410" s="85"/>
      <c r="BD410" s="85"/>
    </row>
    <row r="411" spans="1:56" s="86" customFormat="1" ht="46.5" customHeight="1">
      <c r="A411" s="87">
        <v>406</v>
      </c>
      <c r="B411" s="79" t="s">
        <v>1992</v>
      </c>
      <c r="C411" s="88">
        <v>45420</v>
      </c>
      <c r="D411" s="89">
        <v>0.70833333333333337</v>
      </c>
      <c r="E411" s="87" t="s">
        <v>93</v>
      </c>
      <c r="F411" s="87" t="s">
        <v>102</v>
      </c>
      <c r="G411" s="87" t="s">
        <v>62</v>
      </c>
      <c r="H411" s="90" t="s">
        <v>1993</v>
      </c>
      <c r="I411" s="90" t="s">
        <v>118</v>
      </c>
      <c r="J411" s="87" t="s">
        <v>119</v>
      </c>
      <c r="K411" s="87" t="s">
        <v>129</v>
      </c>
      <c r="L411" s="90" t="s">
        <v>407</v>
      </c>
      <c r="M411" s="91">
        <v>3188799909</v>
      </c>
      <c r="N411" s="90" t="s">
        <v>1351</v>
      </c>
      <c r="O411" s="90" t="str">
        <f t="shared" si="42"/>
        <v>Distrital</v>
      </c>
      <c r="P411" s="87" t="s">
        <v>73</v>
      </c>
      <c r="Q411" s="87"/>
      <c r="R411" s="87"/>
      <c r="S411" s="87"/>
      <c r="T411" s="87"/>
      <c r="U411" s="87"/>
      <c r="V411" s="90" t="str">
        <f t="shared" si="43"/>
        <v>Distrital</v>
      </c>
      <c r="W411" s="87" t="s">
        <v>73</v>
      </c>
      <c r="X411" s="87"/>
      <c r="Y411" s="87"/>
      <c r="Z411" s="87"/>
      <c r="AA411" s="87"/>
      <c r="AB411" s="87"/>
      <c r="AC411" s="90" t="str">
        <f t="shared" si="44"/>
        <v>Distrital</v>
      </c>
      <c r="AD411" s="87" t="s">
        <v>73</v>
      </c>
      <c r="AE411" s="87"/>
      <c r="AF411" s="87"/>
      <c r="AG411" s="87"/>
      <c r="AH411" s="87"/>
      <c r="AI411" s="87"/>
      <c r="AJ411" s="87"/>
      <c r="AK411" s="87"/>
      <c r="AL411" s="87"/>
      <c r="AM411" s="87"/>
      <c r="AN411" s="90" t="s">
        <v>160</v>
      </c>
      <c r="AO411" s="90" t="s">
        <v>1994</v>
      </c>
      <c r="AP411" s="82"/>
      <c r="AQ411" s="87" t="s">
        <v>59</v>
      </c>
      <c r="AR411" s="87" t="s">
        <v>80</v>
      </c>
      <c r="AS411" s="82"/>
      <c r="AT411" s="87">
        <v>5</v>
      </c>
      <c r="AU411" s="87">
        <v>3</v>
      </c>
      <c r="AV411" s="87">
        <f t="shared" si="40"/>
        <v>8</v>
      </c>
      <c r="AW411" s="87" t="str">
        <f t="shared" si="41"/>
        <v>No Aplica</v>
      </c>
      <c r="AX411" s="87" t="s">
        <v>78</v>
      </c>
      <c r="AY411" s="87"/>
      <c r="AZ411" s="87"/>
      <c r="BA411" s="91" t="s">
        <v>1995</v>
      </c>
      <c r="BB411" s="84"/>
      <c r="BC411" s="85"/>
      <c r="BD411" s="85"/>
    </row>
    <row r="412" spans="1:56" s="86" customFormat="1" ht="46.5" customHeight="1">
      <c r="A412" s="78">
        <v>407</v>
      </c>
      <c r="B412" s="79" t="s">
        <v>1996</v>
      </c>
      <c r="C412" s="88">
        <v>45421</v>
      </c>
      <c r="D412" s="89">
        <v>0.375</v>
      </c>
      <c r="E412" s="87" t="s">
        <v>58</v>
      </c>
      <c r="F412" s="87" t="s">
        <v>61</v>
      </c>
      <c r="G412" s="87" t="s">
        <v>62</v>
      </c>
      <c r="H412" s="90" t="s">
        <v>1737</v>
      </c>
      <c r="I412" s="90" t="s">
        <v>172</v>
      </c>
      <c r="J412" s="87" t="s">
        <v>70</v>
      </c>
      <c r="K412" s="87" t="s">
        <v>300</v>
      </c>
      <c r="L412" s="90" t="s">
        <v>72</v>
      </c>
      <c r="M412" s="91" t="s">
        <v>72</v>
      </c>
      <c r="N412" s="90" t="s">
        <v>72</v>
      </c>
      <c r="O412" s="90" t="str">
        <f t="shared" si="42"/>
        <v>Distrital</v>
      </c>
      <c r="P412" s="87" t="s">
        <v>73</v>
      </c>
      <c r="Q412" s="87"/>
      <c r="R412" s="87"/>
      <c r="S412" s="87"/>
      <c r="T412" s="87"/>
      <c r="U412" s="87"/>
      <c r="V412" s="90" t="str">
        <f t="shared" si="43"/>
        <v>Distrital</v>
      </c>
      <c r="W412" s="87" t="s">
        <v>73</v>
      </c>
      <c r="X412" s="87"/>
      <c r="Y412" s="87"/>
      <c r="Z412" s="87"/>
      <c r="AA412" s="87"/>
      <c r="AB412" s="87"/>
      <c r="AC412" s="90" t="str">
        <f t="shared" si="44"/>
        <v>Distrital</v>
      </c>
      <c r="AD412" s="87" t="s">
        <v>73</v>
      </c>
      <c r="AE412" s="87"/>
      <c r="AF412" s="87"/>
      <c r="AG412" s="87"/>
      <c r="AH412" s="87"/>
      <c r="AI412" s="87"/>
      <c r="AJ412" s="87"/>
      <c r="AK412" s="87"/>
      <c r="AL412" s="87"/>
      <c r="AM412" s="87"/>
      <c r="AN412" s="90" t="s">
        <v>1739</v>
      </c>
      <c r="AO412" s="90" t="s">
        <v>1740</v>
      </c>
      <c r="AP412" s="82"/>
      <c r="AQ412" s="87" t="s">
        <v>60</v>
      </c>
      <c r="AR412" s="87" t="s">
        <v>1741</v>
      </c>
      <c r="AS412" s="82"/>
      <c r="AT412" s="87">
        <v>7</v>
      </c>
      <c r="AU412" s="87">
        <v>4</v>
      </c>
      <c r="AV412" s="87">
        <f t="shared" si="40"/>
        <v>11</v>
      </c>
      <c r="AW412" s="87" t="str">
        <f t="shared" si="41"/>
        <v>Ninguna</v>
      </c>
      <c r="AX412" s="87" t="s">
        <v>75</v>
      </c>
      <c r="AY412" s="87"/>
      <c r="AZ412" s="87"/>
      <c r="BA412" s="91" t="s">
        <v>1997</v>
      </c>
      <c r="BB412" s="84"/>
      <c r="BC412" s="85"/>
      <c r="BD412" s="85"/>
    </row>
    <row r="413" spans="1:56" s="86" customFormat="1" ht="46.5" customHeight="1">
      <c r="A413" s="87">
        <v>408</v>
      </c>
      <c r="B413" s="79" t="s">
        <v>1998</v>
      </c>
      <c r="C413" s="88">
        <v>45421</v>
      </c>
      <c r="D413" s="89">
        <v>0.33333333333333331</v>
      </c>
      <c r="E413" s="87" t="s">
        <v>58</v>
      </c>
      <c r="F413" s="87" t="s">
        <v>61</v>
      </c>
      <c r="G413" s="87" t="s">
        <v>62</v>
      </c>
      <c r="H413" s="90" t="s">
        <v>1999</v>
      </c>
      <c r="I413" s="90" t="s">
        <v>172</v>
      </c>
      <c r="J413" s="87" t="s">
        <v>70</v>
      </c>
      <c r="K413" s="87" t="s">
        <v>300</v>
      </c>
      <c r="L413" s="90" t="s">
        <v>72</v>
      </c>
      <c r="M413" s="91" t="s">
        <v>72</v>
      </c>
      <c r="N413" s="90" t="s">
        <v>72</v>
      </c>
      <c r="O413" s="90" t="str">
        <f t="shared" si="42"/>
        <v>Distrital</v>
      </c>
      <c r="P413" s="87" t="s">
        <v>73</v>
      </c>
      <c r="Q413" s="87"/>
      <c r="R413" s="87"/>
      <c r="S413" s="87"/>
      <c r="T413" s="87"/>
      <c r="U413" s="87"/>
      <c r="V413" s="90" t="str">
        <f t="shared" si="43"/>
        <v>Distrital</v>
      </c>
      <c r="W413" s="87" t="s">
        <v>73</v>
      </c>
      <c r="X413" s="87"/>
      <c r="Y413" s="87"/>
      <c r="Z413" s="87"/>
      <c r="AA413" s="87"/>
      <c r="AB413" s="87"/>
      <c r="AC413" s="90" t="str">
        <f t="shared" si="44"/>
        <v>Distrital</v>
      </c>
      <c r="AD413" s="87" t="s">
        <v>73</v>
      </c>
      <c r="AE413" s="87"/>
      <c r="AF413" s="87"/>
      <c r="AG413" s="87"/>
      <c r="AH413" s="87"/>
      <c r="AI413" s="87"/>
      <c r="AJ413" s="87"/>
      <c r="AK413" s="87"/>
      <c r="AL413" s="87"/>
      <c r="AM413" s="87"/>
      <c r="AN413" s="90" t="s">
        <v>160</v>
      </c>
      <c r="AO413" s="90" t="s">
        <v>2000</v>
      </c>
      <c r="AP413" s="82"/>
      <c r="AQ413" s="87" t="s">
        <v>60</v>
      </c>
      <c r="AR413" s="87" t="s">
        <v>1741</v>
      </c>
      <c r="AS413" s="82"/>
      <c r="AT413" s="87">
        <v>20</v>
      </c>
      <c r="AU413" s="87">
        <v>10</v>
      </c>
      <c r="AV413" s="87">
        <f t="shared" si="40"/>
        <v>30</v>
      </c>
      <c r="AW413" s="87" t="str">
        <f t="shared" si="41"/>
        <v>No Aplica</v>
      </c>
      <c r="AX413" s="87" t="s">
        <v>78</v>
      </c>
      <c r="AY413" s="87"/>
      <c r="AZ413" s="87"/>
      <c r="BA413" s="91" t="s">
        <v>2001</v>
      </c>
      <c r="BB413" s="84"/>
      <c r="BC413" s="85"/>
      <c r="BD413" s="85"/>
    </row>
    <row r="414" spans="1:56" s="86" customFormat="1" ht="46.5" customHeight="1">
      <c r="A414" s="78">
        <v>409</v>
      </c>
      <c r="B414" s="79" t="s">
        <v>699</v>
      </c>
      <c r="C414" s="88">
        <v>45421</v>
      </c>
      <c r="D414" s="89">
        <v>0.35416666666666669</v>
      </c>
      <c r="E414" s="87" t="s">
        <v>93</v>
      </c>
      <c r="F414" s="87" t="s">
        <v>321</v>
      </c>
      <c r="G414" s="87" t="s">
        <v>62</v>
      </c>
      <c r="H414" s="90" t="s">
        <v>1373</v>
      </c>
      <c r="I414" s="90" t="s">
        <v>64</v>
      </c>
      <c r="J414" s="87" t="s">
        <v>70</v>
      </c>
      <c r="K414" s="87" t="s">
        <v>1810</v>
      </c>
      <c r="L414" s="90" t="s">
        <v>1374</v>
      </c>
      <c r="M414" s="91" t="s">
        <v>2002</v>
      </c>
      <c r="N414" s="90" t="s">
        <v>703</v>
      </c>
      <c r="O414" s="90" t="str">
        <f t="shared" si="42"/>
        <v>Bosa</v>
      </c>
      <c r="P414" s="87" t="s">
        <v>472</v>
      </c>
      <c r="Q414" s="87"/>
      <c r="R414" s="87"/>
      <c r="S414" s="87"/>
      <c r="T414" s="87"/>
      <c r="U414" s="87"/>
      <c r="V414" s="90" t="str">
        <f t="shared" si="43"/>
        <v>Suroccidente</v>
      </c>
      <c r="W414" s="87" t="s">
        <v>474</v>
      </c>
      <c r="X414" s="87"/>
      <c r="Y414" s="87"/>
      <c r="Z414" s="87"/>
      <c r="AA414" s="87"/>
      <c r="AB414" s="87"/>
      <c r="AC414" s="90" t="str">
        <f t="shared" si="44"/>
        <v>Edén, Porvenir, Bosa</v>
      </c>
      <c r="AD414" s="87" t="s">
        <v>704</v>
      </c>
      <c r="AE414" s="87" t="s">
        <v>705</v>
      </c>
      <c r="AF414" s="87" t="s">
        <v>472</v>
      </c>
      <c r="AG414" s="87"/>
      <c r="AH414" s="87"/>
      <c r="AI414" s="87"/>
      <c r="AJ414" s="87"/>
      <c r="AK414" s="87"/>
      <c r="AL414" s="87"/>
      <c r="AM414" s="87"/>
      <c r="AN414" s="90" t="s">
        <v>1671</v>
      </c>
      <c r="AO414" s="90" t="s">
        <v>2003</v>
      </c>
      <c r="AP414" s="82"/>
      <c r="AQ414" s="87" t="s">
        <v>59</v>
      </c>
      <c r="AR414" s="87" t="s">
        <v>80</v>
      </c>
      <c r="AS414" s="82"/>
      <c r="AT414" s="87">
        <v>12</v>
      </c>
      <c r="AU414" s="87">
        <v>2</v>
      </c>
      <c r="AV414" s="87">
        <f t="shared" si="40"/>
        <v>14</v>
      </c>
      <c r="AW414" s="87" t="str">
        <f t="shared" si="41"/>
        <v>No Aplica</v>
      </c>
      <c r="AX414" s="87" t="s">
        <v>78</v>
      </c>
      <c r="AY414" s="87"/>
      <c r="AZ414" s="87"/>
      <c r="BA414" s="91" t="s">
        <v>2004</v>
      </c>
      <c r="BB414" s="84"/>
      <c r="BC414" s="85"/>
      <c r="BD414" s="85"/>
    </row>
    <row r="415" spans="1:56" s="86" customFormat="1" ht="46.5" customHeight="1">
      <c r="A415" s="87">
        <v>410</v>
      </c>
      <c r="B415" s="79" t="s">
        <v>1903</v>
      </c>
      <c r="C415" s="88">
        <v>45421</v>
      </c>
      <c r="D415" s="89">
        <v>0.375</v>
      </c>
      <c r="E415" s="87" t="s">
        <v>58</v>
      </c>
      <c r="F415" s="87" t="s">
        <v>61</v>
      </c>
      <c r="G415" s="87" t="s">
        <v>62</v>
      </c>
      <c r="H415" s="90" t="s">
        <v>1904</v>
      </c>
      <c r="I415" s="90" t="s">
        <v>172</v>
      </c>
      <c r="J415" s="87" t="s">
        <v>70</v>
      </c>
      <c r="K415" s="87" t="s">
        <v>300</v>
      </c>
      <c r="L415" s="90" t="s">
        <v>72</v>
      </c>
      <c r="M415" s="91" t="s">
        <v>72</v>
      </c>
      <c r="N415" s="90" t="s">
        <v>72</v>
      </c>
      <c r="O415" s="90" t="str">
        <f t="shared" si="42"/>
        <v>Distrital</v>
      </c>
      <c r="P415" s="87" t="s">
        <v>73</v>
      </c>
      <c r="Q415" s="87"/>
      <c r="R415" s="87"/>
      <c r="S415" s="87"/>
      <c r="T415" s="87"/>
      <c r="U415" s="87"/>
      <c r="V415" s="90" t="str">
        <f t="shared" si="43"/>
        <v>Distrital</v>
      </c>
      <c r="W415" s="87" t="s">
        <v>73</v>
      </c>
      <c r="X415" s="87"/>
      <c r="Y415" s="87"/>
      <c r="Z415" s="87"/>
      <c r="AA415" s="87"/>
      <c r="AB415" s="87"/>
      <c r="AC415" s="90" t="str">
        <f t="shared" si="44"/>
        <v>Distrital</v>
      </c>
      <c r="AD415" s="87" t="s">
        <v>73</v>
      </c>
      <c r="AE415" s="87"/>
      <c r="AF415" s="87"/>
      <c r="AG415" s="87"/>
      <c r="AH415" s="87"/>
      <c r="AI415" s="87"/>
      <c r="AJ415" s="87"/>
      <c r="AK415" s="87"/>
      <c r="AL415" s="87"/>
      <c r="AM415" s="87"/>
      <c r="AN415" s="90" t="s">
        <v>1739</v>
      </c>
      <c r="AO415" s="90" t="s">
        <v>1740</v>
      </c>
      <c r="AP415" s="82"/>
      <c r="AQ415" s="87" t="s">
        <v>60</v>
      </c>
      <c r="AR415" s="87" t="s">
        <v>1741</v>
      </c>
      <c r="AS415" s="82"/>
      <c r="AT415" s="87">
        <v>50</v>
      </c>
      <c r="AU415" s="87">
        <v>4</v>
      </c>
      <c r="AV415" s="87">
        <f t="shared" si="40"/>
        <v>54</v>
      </c>
      <c r="AW415" s="87" t="str">
        <f t="shared" si="41"/>
        <v>No Aplica</v>
      </c>
      <c r="AX415" s="87" t="s">
        <v>78</v>
      </c>
      <c r="AY415" s="87"/>
      <c r="AZ415" s="87"/>
      <c r="BA415" s="91" t="s">
        <v>2005</v>
      </c>
      <c r="BB415" s="84"/>
      <c r="BC415" s="85"/>
      <c r="BD415" s="85"/>
    </row>
    <row r="416" spans="1:56" s="86" customFormat="1" ht="46.5" customHeight="1">
      <c r="A416" s="78">
        <v>411</v>
      </c>
      <c r="B416" s="79" t="s">
        <v>2006</v>
      </c>
      <c r="C416" s="88">
        <v>45421</v>
      </c>
      <c r="D416" s="89">
        <v>0.41666666666666669</v>
      </c>
      <c r="E416" s="87" t="s">
        <v>93</v>
      </c>
      <c r="F416" s="87" t="s">
        <v>321</v>
      </c>
      <c r="G416" s="87" t="s">
        <v>62</v>
      </c>
      <c r="H416" s="90" t="s">
        <v>2007</v>
      </c>
      <c r="I416" s="90" t="s">
        <v>64</v>
      </c>
      <c r="J416" s="87" t="s">
        <v>70</v>
      </c>
      <c r="K416" s="87" t="s">
        <v>1810</v>
      </c>
      <c r="L416" s="90" t="s">
        <v>2008</v>
      </c>
      <c r="M416" s="91" t="s">
        <v>2009</v>
      </c>
      <c r="N416" s="90" t="s">
        <v>634</v>
      </c>
      <c r="O416" s="90" t="str">
        <f t="shared" si="42"/>
        <v>Barrios Unidos</v>
      </c>
      <c r="P416" s="87" t="s">
        <v>686</v>
      </c>
      <c r="Q416" s="87"/>
      <c r="R416" s="87"/>
      <c r="S416" s="87"/>
      <c r="T416" s="87"/>
      <c r="U416" s="87"/>
      <c r="V416" s="90" t="str">
        <f t="shared" si="43"/>
        <v>Centro Ampliado</v>
      </c>
      <c r="W416" s="87" t="s">
        <v>415</v>
      </c>
      <c r="X416" s="87"/>
      <c r="Y416" s="87"/>
      <c r="Z416" s="87"/>
      <c r="AA416" s="87"/>
      <c r="AB416" s="87"/>
      <c r="AC416" s="90" t="str">
        <f t="shared" si="44"/>
        <v>Barrios Unidos</v>
      </c>
      <c r="AD416" s="87" t="s">
        <v>686</v>
      </c>
      <c r="AE416" s="87"/>
      <c r="AF416" s="87"/>
      <c r="AG416" s="87"/>
      <c r="AH416" s="87"/>
      <c r="AI416" s="87"/>
      <c r="AJ416" s="87"/>
      <c r="AK416" s="87"/>
      <c r="AL416" s="87"/>
      <c r="AM416" s="87"/>
      <c r="AN416" s="90" t="s">
        <v>2010</v>
      </c>
      <c r="AO416" s="90" t="s">
        <v>2011</v>
      </c>
      <c r="AP416" s="82"/>
      <c r="AQ416" s="87" t="s">
        <v>59</v>
      </c>
      <c r="AR416" s="87" t="s">
        <v>80</v>
      </c>
      <c r="AS416" s="82"/>
      <c r="AT416" s="87">
        <v>27</v>
      </c>
      <c r="AU416" s="87">
        <v>2</v>
      </c>
      <c r="AV416" s="87">
        <f t="shared" si="40"/>
        <v>29</v>
      </c>
      <c r="AW416" s="87" t="str">
        <f t="shared" si="41"/>
        <v>No Aplica</v>
      </c>
      <c r="AX416" s="87" t="s">
        <v>78</v>
      </c>
      <c r="AY416" s="87"/>
      <c r="AZ416" s="87"/>
      <c r="BA416" s="91" t="s">
        <v>2012</v>
      </c>
      <c r="BB416" s="84"/>
      <c r="BC416" s="85"/>
      <c r="BD416" s="85"/>
    </row>
    <row r="417" spans="1:56" s="86" customFormat="1" ht="46.5" customHeight="1">
      <c r="A417" s="87">
        <v>412</v>
      </c>
      <c r="B417" s="79" t="s">
        <v>2013</v>
      </c>
      <c r="C417" s="88">
        <v>45421</v>
      </c>
      <c r="D417" s="89">
        <v>0.70833333333333337</v>
      </c>
      <c r="E417" s="87" t="s">
        <v>58</v>
      </c>
      <c r="F417" s="87" t="s">
        <v>1184</v>
      </c>
      <c r="G417" s="87" t="s">
        <v>62</v>
      </c>
      <c r="H417" s="90" t="s">
        <v>2014</v>
      </c>
      <c r="I417" s="90" t="s">
        <v>188</v>
      </c>
      <c r="J417" s="87" t="s">
        <v>173</v>
      </c>
      <c r="K417" s="87"/>
      <c r="L417" s="90" t="s">
        <v>2015</v>
      </c>
      <c r="M417" s="91" t="s">
        <v>72</v>
      </c>
      <c r="N417" s="90" t="s">
        <v>2016</v>
      </c>
      <c r="O417" s="90" t="str">
        <f t="shared" si="42"/>
        <v>Bosa</v>
      </c>
      <c r="P417" s="87" t="s">
        <v>472</v>
      </c>
      <c r="Q417" s="87"/>
      <c r="R417" s="87"/>
      <c r="S417" s="87"/>
      <c r="T417" s="87"/>
      <c r="U417" s="87"/>
      <c r="V417" s="90" t="str">
        <f t="shared" si="43"/>
        <v>Suroccidente</v>
      </c>
      <c r="W417" s="87" t="s">
        <v>474</v>
      </c>
      <c r="X417" s="87"/>
      <c r="Y417" s="87"/>
      <c r="Z417" s="87"/>
      <c r="AA417" s="87"/>
      <c r="AB417" s="87"/>
      <c r="AC417" s="90" t="str">
        <f t="shared" si="44"/>
        <v>Edén, Porvenir, Bosa</v>
      </c>
      <c r="AD417" s="87" t="s">
        <v>704</v>
      </c>
      <c r="AE417" s="87" t="s">
        <v>705</v>
      </c>
      <c r="AF417" s="87" t="s">
        <v>472</v>
      </c>
      <c r="AG417" s="87"/>
      <c r="AH417" s="87"/>
      <c r="AI417" s="87"/>
      <c r="AJ417" s="87"/>
      <c r="AK417" s="87"/>
      <c r="AL417" s="87"/>
      <c r="AM417" s="87"/>
      <c r="AN417" s="90" t="s">
        <v>2017</v>
      </c>
      <c r="AO417" s="90" t="s">
        <v>2018</v>
      </c>
      <c r="AP417" s="82"/>
      <c r="AQ417" s="87" t="s">
        <v>59</v>
      </c>
      <c r="AR417" s="87" t="s">
        <v>80</v>
      </c>
      <c r="AS417" s="82"/>
      <c r="AT417" s="87">
        <v>67</v>
      </c>
      <c r="AU417" s="87">
        <v>2</v>
      </c>
      <c r="AV417" s="87">
        <f t="shared" si="40"/>
        <v>69</v>
      </c>
      <c r="AW417" s="87" t="str">
        <f t="shared" si="41"/>
        <v>No Aplica</v>
      </c>
      <c r="AX417" s="87" t="s">
        <v>78</v>
      </c>
      <c r="AY417" s="87"/>
      <c r="AZ417" s="87"/>
      <c r="BA417" s="91" t="s">
        <v>2019</v>
      </c>
      <c r="BB417" s="84"/>
      <c r="BC417" s="85"/>
      <c r="BD417" s="85"/>
    </row>
    <row r="418" spans="1:56" s="86" customFormat="1" ht="46.5" customHeight="1">
      <c r="A418" s="78">
        <v>413</v>
      </c>
      <c r="B418" s="79" t="s">
        <v>1860</v>
      </c>
      <c r="C418" s="88">
        <v>45421</v>
      </c>
      <c r="D418" s="89">
        <v>0.70833333333333337</v>
      </c>
      <c r="E418" s="87" t="s">
        <v>93</v>
      </c>
      <c r="F418" s="87" t="s">
        <v>102</v>
      </c>
      <c r="G418" s="87" t="s">
        <v>95</v>
      </c>
      <c r="H418" s="90" t="s">
        <v>2020</v>
      </c>
      <c r="I418" s="90" t="s">
        <v>118</v>
      </c>
      <c r="J418" s="87" t="s">
        <v>119</v>
      </c>
      <c r="K418" s="87" t="s">
        <v>129</v>
      </c>
      <c r="L418" s="90" t="s">
        <v>2021</v>
      </c>
      <c r="M418" s="91">
        <v>3188799909</v>
      </c>
      <c r="N418" s="90" t="s">
        <v>439</v>
      </c>
      <c r="O418" s="90" t="str">
        <f t="shared" si="42"/>
        <v>Distrital</v>
      </c>
      <c r="P418" s="87" t="s">
        <v>73</v>
      </c>
      <c r="Q418" s="87"/>
      <c r="R418" s="87"/>
      <c r="S418" s="87"/>
      <c r="T418" s="87"/>
      <c r="U418" s="87"/>
      <c r="V418" s="90" t="str">
        <f t="shared" si="43"/>
        <v>Distrital</v>
      </c>
      <c r="W418" s="87" t="s">
        <v>73</v>
      </c>
      <c r="X418" s="87"/>
      <c r="Y418" s="87"/>
      <c r="Z418" s="87"/>
      <c r="AA418" s="87"/>
      <c r="AB418" s="87"/>
      <c r="AC418" s="90" t="str">
        <f t="shared" si="44"/>
        <v>Distrital</v>
      </c>
      <c r="AD418" s="87" t="s">
        <v>73</v>
      </c>
      <c r="AE418" s="87"/>
      <c r="AF418" s="87"/>
      <c r="AG418" s="87"/>
      <c r="AH418" s="87"/>
      <c r="AI418" s="87"/>
      <c r="AJ418" s="87"/>
      <c r="AK418" s="87"/>
      <c r="AL418" s="87"/>
      <c r="AM418" s="87"/>
      <c r="AN418" s="90" t="s">
        <v>160</v>
      </c>
      <c r="AO418" s="92" t="s">
        <v>2022</v>
      </c>
      <c r="AP418" s="82"/>
      <c r="AQ418" s="87" t="s">
        <v>59</v>
      </c>
      <c r="AR418" s="87" t="s">
        <v>80</v>
      </c>
      <c r="AS418" s="82"/>
      <c r="AT418" s="87">
        <v>53</v>
      </c>
      <c r="AU418" s="87">
        <v>2</v>
      </c>
      <c r="AV418" s="87">
        <f t="shared" si="40"/>
        <v>55</v>
      </c>
      <c r="AW418" s="87" t="str">
        <f t="shared" si="41"/>
        <v>No Aplica</v>
      </c>
      <c r="AX418" s="87" t="s">
        <v>78</v>
      </c>
      <c r="AY418" s="87"/>
      <c r="AZ418" s="87"/>
      <c r="BA418" s="91" t="s">
        <v>2023</v>
      </c>
      <c r="BB418" s="84"/>
      <c r="BC418" s="85"/>
      <c r="BD418" s="85"/>
    </row>
    <row r="419" spans="1:56" s="86" customFormat="1" ht="46.5" customHeight="1">
      <c r="A419" s="87">
        <v>414</v>
      </c>
      <c r="B419" s="79" t="s">
        <v>1998</v>
      </c>
      <c r="C419" s="88">
        <v>45422</v>
      </c>
      <c r="D419" s="89">
        <v>0.33333333333333331</v>
      </c>
      <c r="E419" s="87" t="s">
        <v>58</v>
      </c>
      <c r="F419" s="87" t="s">
        <v>61</v>
      </c>
      <c r="G419" s="87" t="s">
        <v>62</v>
      </c>
      <c r="H419" s="90" t="s">
        <v>1999</v>
      </c>
      <c r="I419" s="90" t="s">
        <v>172</v>
      </c>
      <c r="J419" s="87" t="s">
        <v>70</v>
      </c>
      <c r="K419" s="87" t="s">
        <v>300</v>
      </c>
      <c r="L419" s="90"/>
      <c r="M419" s="91"/>
      <c r="N419" s="90"/>
      <c r="O419" s="90" t="str">
        <f t="shared" si="42"/>
        <v>Distrital</v>
      </c>
      <c r="P419" s="87" t="s">
        <v>73</v>
      </c>
      <c r="Q419" s="87"/>
      <c r="R419" s="87"/>
      <c r="S419" s="87"/>
      <c r="T419" s="87"/>
      <c r="U419" s="87"/>
      <c r="V419" s="90" t="str">
        <f t="shared" si="43"/>
        <v>Distrital</v>
      </c>
      <c r="W419" s="87" t="s">
        <v>73</v>
      </c>
      <c r="X419" s="87"/>
      <c r="Y419" s="87"/>
      <c r="Z419" s="87"/>
      <c r="AA419" s="87"/>
      <c r="AB419" s="87"/>
      <c r="AC419" s="90" t="str">
        <f t="shared" si="44"/>
        <v>Distrital</v>
      </c>
      <c r="AD419" s="87" t="s">
        <v>73</v>
      </c>
      <c r="AE419" s="87"/>
      <c r="AF419" s="87"/>
      <c r="AG419" s="87"/>
      <c r="AH419" s="87"/>
      <c r="AI419" s="87"/>
      <c r="AJ419" s="87"/>
      <c r="AK419" s="87"/>
      <c r="AL419" s="87"/>
      <c r="AM419" s="87"/>
      <c r="AN419" s="90" t="s">
        <v>160</v>
      </c>
      <c r="AO419" s="90" t="s">
        <v>2000</v>
      </c>
      <c r="AP419" s="82"/>
      <c r="AQ419" s="87" t="s">
        <v>60</v>
      </c>
      <c r="AR419" s="87" t="s">
        <v>1741</v>
      </c>
      <c r="AS419" s="82"/>
      <c r="AT419" s="87">
        <v>2</v>
      </c>
      <c r="AU419" s="87">
        <v>10</v>
      </c>
      <c r="AV419" s="87">
        <f t="shared" si="40"/>
        <v>12</v>
      </c>
      <c r="AW419" s="87" t="str">
        <f t="shared" si="41"/>
        <v>No Aplica</v>
      </c>
      <c r="AX419" s="87" t="s">
        <v>78</v>
      </c>
      <c r="AY419" s="87"/>
      <c r="AZ419" s="87"/>
      <c r="BA419" s="91" t="s">
        <v>2024</v>
      </c>
      <c r="BB419" s="84"/>
      <c r="BC419" s="85"/>
      <c r="BD419" s="85"/>
    </row>
    <row r="420" spans="1:56" s="86" customFormat="1" ht="46.5" customHeight="1">
      <c r="A420" s="78">
        <v>415</v>
      </c>
      <c r="B420" s="79" t="s">
        <v>2025</v>
      </c>
      <c r="C420" s="88">
        <v>45422</v>
      </c>
      <c r="D420" s="89">
        <v>0.375</v>
      </c>
      <c r="E420" s="87" t="s">
        <v>58</v>
      </c>
      <c r="F420" s="87" t="s">
        <v>61</v>
      </c>
      <c r="G420" s="87" t="s">
        <v>62</v>
      </c>
      <c r="H420" s="90" t="s">
        <v>1737</v>
      </c>
      <c r="I420" s="90" t="s">
        <v>172</v>
      </c>
      <c r="J420" s="87" t="s">
        <v>70</v>
      </c>
      <c r="K420" s="87" t="s">
        <v>300</v>
      </c>
      <c r="L420" s="90" t="s">
        <v>72</v>
      </c>
      <c r="M420" s="91" t="s">
        <v>72</v>
      </c>
      <c r="N420" s="91" t="s">
        <v>72</v>
      </c>
      <c r="O420" s="90" t="str">
        <f t="shared" si="42"/>
        <v>Distrital</v>
      </c>
      <c r="P420" s="87" t="s">
        <v>73</v>
      </c>
      <c r="Q420" s="87"/>
      <c r="R420" s="87"/>
      <c r="S420" s="87"/>
      <c r="T420" s="87"/>
      <c r="U420" s="87"/>
      <c r="V420" s="90" t="str">
        <f t="shared" si="43"/>
        <v>Distrital</v>
      </c>
      <c r="W420" s="87" t="s">
        <v>73</v>
      </c>
      <c r="X420" s="87"/>
      <c r="Y420" s="87"/>
      <c r="Z420" s="87"/>
      <c r="AA420" s="87"/>
      <c r="AB420" s="87"/>
      <c r="AC420" s="90" t="str">
        <f t="shared" si="44"/>
        <v>Distrital</v>
      </c>
      <c r="AD420" s="87" t="s">
        <v>73</v>
      </c>
      <c r="AE420" s="87"/>
      <c r="AF420" s="87"/>
      <c r="AG420" s="87"/>
      <c r="AH420" s="87"/>
      <c r="AI420" s="87"/>
      <c r="AJ420" s="87"/>
      <c r="AK420" s="87"/>
      <c r="AL420" s="87"/>
      <c r="AM420" s="87"/>
      <c r="AN420" s="90" t="s">
        <v>1739</v>
      </c>
      <c r="AO420" s="90" t="s">
        <v>1740</v>
      </c>
      <c r="AP420" s="82"/>
      <c r="AQ420" s="87" t="s">
        <v>60</v>
      </c>
      <c r="AR420" s="87" t="s">
        <v>1741</v>
      </c>
      <c r="AS420" s="82"/>
      <c r="AT420" s="87">
        <v>17</v>
      </c>
      <c r="AU420" s="87">
        <v>3</v>
      </c>
      <c r="AV420" s="87">
        <f t="shared" si="40"/>
        <v>20</v>
      </c>
      <c r="AW420" s="87" t="str">
        <f t="shared" si="41"/>
        <v>Accesibilidad Universal, Horarios Acordes, Contenidos adaptados</v>
      </c>
      <c r="AX420" s="87" t="s">
        <v>246</v>
      </c>
      <c r="AY420" s="87" t="s">
        <v>213</v>
      </c>
      <c r="AZ420" s="87" t="s">
        <v>212</v>
      </c>
      <c r="BA420" s="91" t="s">
        <v>2026</v>
      </c>
      <c r="BB420" s="84"/>
      <c r="BC420" s="85"/>
      <c r="BD420" s="85"/>
    </row>
    <row r="421" spans="1:56" s="86" customFormat="1" ht="46.5" customHeight="1">
      <c r="A421" s="87">
        <v>416</v>
      </c>
      <c r="B421" s="79" t="s">
        <v>2027</v>
      </c>
      <c r="C421" s="88">
        <v>45422</v>
      </c>
      <c r="D421" s="89">
        <v>0.375</v>
      </c>
      <c r="E421" s="87" t="s">
        <v>58</v>
      </c>
      <c r="F421" s="87" t="s">
        <v>61</v>
      </c>
      <c r="G421" s="87" t="s">
        <v>62</v>
      </c>
      <c r="H421" s="90" t="s">
        <v>1904</v>
      </c>
      <c r="I421" s="90" t="s">
        <v>172</v>
      </c>
      <c r="J421" s="87" t="s">
        <v>70</v>
      </c>
      <c r="K421" s="87" t="s">
        <v>300</v>
      </c>
      <c r="L421" s="90" t="s">
        <v>72</v>
      </c>
      <c r="M421" s="91" t="s">
        <v>72</v>
      </c>
      <c r="N421" s="90" t="s">
        <v>72</v>
      </c>
      <c r="O421" s="90" t="str">
        <f t="shared" si="42"/>
        <v>Distrital</v>
      </c>
      <c r="P421" s="87" t="s">
        <v>73</v>
      </c>
      <c r="Q421" s="87"/>
      <c r="R421" s="87"/>
      <c r="S421" s="87"/>
      <c r="T421" s="87"/>
      <c r="U421" s="87"/>
      <c r="V421" s="90" t="str">
        <f t="shared" si="43"/>
        <v>Distrital</v>
      </c>
      <c r="W421" s="87" t="s">
        <v>73</v>
      </c>
      <c r="X421" s="87"/>
      <c r="Y421" s="87"/>
      <c r="Z421" s="87"/>
      <c r="AA421" s="87"/>
      <c r="AB421" s="87"/>
      <c r="AC421" s="90" t="str">
        <f t="shared" si="44"/>
        <v>Distrital</v>
      </c>
      <c r="AD421" s="87" t="s">
        <v>73</v>
      </c>
      <c r="AE421" s="87"/>
      <c r="AF421" s="87"/>
      <c r="AG421" s="87"/>
      <c r="AH421" s="87"/>
      <c r="AI421" s="87"/>
      <c r="AJ421" s="87"/>
      <c r="AK421" s="87"/>
      <c r="AL421" s="87"/>
      <c r="AM421" s="87"/>
      <c r="AN421" s="90" t="s">
        <v>1739</v>
      </c>
      <c r="AO421" s="90" t="s">
        <v>1740</v>
      </c>
      <c r="AP421" s="82"/>
      <c r="AQ421" s="87" t="s">
        <v>60</v>
      </c>
      <c r="AR421" s="87" t="s">
        <v>1741</v>
      </c>
      <c r="AS421" s="82"/>
      <c r="AT421" s="87">
        <v>120</v>
      </c>
      <c r="AU421" s="87">
        <v>4</v>
      </c>
      <c r="AV421" s="87">
        <f t="shared" si="40"/>
        <v>124</v>
      </c>
      <c r="AW421" s="87" t="str">
        <f t="shared" si="41"/>
        <v>No Aplica</v>
      </c>
      <c r="AX421" s="87" t="s">
        <v>78</v>
      </c>
      <c r="AY421" s="87"/>
      <c r="AZ421" s="87"/>
      <c r="BA421" s="91" t="s">
        <v>2028</v>
      </c>
      <c r="BB421" s="84"/>
      <c r="BC421" s="85"/>
      <c r="BD421" s="85"/>
    </row>
    <row r="422" spans="1:56" s="86" customFormat="1" ht="46.5" customHeight="1">
      <c r="A422" s="78">
        <v>417</v>
      </c>
      <c r="B422" s="79" t="s">
        <v>1714</v>
      </c>
      <c r="C422" s="88">
        <v>45422</v>
      </c>
      <c r="D422" s="89">
        <v>0.41666666666666669</v>
      </c>
      <c r="E422" s="87" t="s">
        <v>58</v>
      </c>
      <c r="F422" s="87" t="s">
        <v>135</v>
      </c>
      <c r="G422" s="87" t="s">
        <v>95</v>
      </c>
      <c r="H422" s="90" t="s">
        <v>1922</v>
      </c>
      <c r="I422" s="90" t="s">
        <v>64</v>
      </c>
      <c r="J422" s="87" t="s">
        <v>173</v>
      </c>
      <c r="K422" s="87"/>
      <c r="L422" s="90" t="s">
        <v>72</v>
      </c>
      <c r="M422" s="91" t="s">
        <v>72</v>
      </c>
      <c r="N422" s="90" t="s">
        <v>72</v>
      </c>
      <c r="O422" s="90" t="str">
        <f t="shared" si="42"/>
        <v>Distrital</v>
      </c>
      <c r="P422" s="87" t="s">
        <v>73</v>
      </c>
      <c r="Q422" s="87"/>
      <c r="R422" s="87"/>
      <c r="S422" s="87"/>
      <c r="T422" s="87"/>
      <c r="U422" s="87"/>
      <c r="V422" s="90" t="str">
        <f t="shared" si="43"/>
        <v>Distrital</v>
      </c>
      <c r="W422" s="87" t="s">
        <v>73</v>
      </c>
      <c r="X422" s="87"/>
      <c r="Y422" s="87"/>
      <c r="Z422" s="87"/>
      <c r="AA422" s="87"/>
      <c r="AB422" s="87"/>
      <c r="AC422" s="90" t="str">
        <f t="shared" si="44"/>
        <v>Distrital</v>
      </c>
      <c r="AD422" s="87" t="s">
        <v>73</v>
      </c>
      <c r="AE422" s="87"/>
      <c r="AF422" s="87"/>
      <c r="AG422" s="87"/>
      <c r="AH422" s="87"/>
      <c r="AI422" s="87"/>
      <c r="AJ422" s="87"/>
      <c r="AK422" s="87"/>
      <c r="AL422" s="87"/>
      <c r="AM422" s="87"/>
      <c r="AN422" s="90" t="s">
        <v>160</v>
      </c>
      <c r="AO422" s="92" t="s">
        <v>1923</v>
      </c>
      <c r="AP422" s="82"/>
      <c r="AQ422" s="87" t="s">
        <v>60</v>
      </c>
      <c r="AR422" s="87" t="s">
        <v>77</v>
      </c>
      <c r="AS422" s="82"/>
      <c r="AT422" s="87">
        <v>5</v>
      </c>
      <c r="AU422" s="87">
        <v>5</v>
      </c>
      <c r="AV422" s="87">
        <f t="shared" si="40"/>
        <v>10</v>
      </c>
      <c r="AW422" s="87" t="str">
        <f t="shared" si="41"/>
        <v>No Aplica</v>
      </c>
      <c r="AX422" s="87" t="s">
        <v>78</v>
      </c>
      <c r="AY422" s="87"/>
      <c r="AZ422" s="87"/>
      <c r="BA422" s="91" t="s">
        <v>2029</v>
      </c>
      <c r="BB422" s="84"/>
      <c r="BC422" s="85"/>
      <c r="BD422" s="85"/>
    </row>
    <row r="423" spans="1:56" s="86" customFormat="1" ht="46.5" customHeight="1">
      <c r="A423" s="87">
        <v>418</v>
      </c>
      <c r="B423" s="79" t="s">
        <v>2030</v>
      </c>
      <c r="C423" s="88">
        <v>45422</v>
      </c>
      <c r="D423" s="89">
        <v>0.58333333333333337</v>
      </c>
      <c r="E423" s="87" t="s">
        <v>58</v>
      </c>
      <c r="F423" s="87" t="s">
        <v>61</v>
      </c>
      <c r="G423" s="87" t="s">
        <v>62</v>
      </c>
      <c r="H423" s="90" t="s">
        <v>2031</v>
      </c>
      <c r="I423" s="90" t="s">
        <v>172</v>
      </c>
      <c r="J423" s="87" t="s">
        <v>70</v>
      </c>
      <c r="K423" s="87" t="s">
        <v>300</v>
      </c>
      <c r="L423" s="90" t="s">
        <v>72</v>
      </c>
      <c r="M423" s="91" t="s">
        <v>72</v>
      </c>
      <c r="N423" s="90" t="s">
        <v>72</v>
      </c>
      <c r="O423" s="90" t="str">
        <f t="shared" si="42"/>
        <v>Distrital</v>
      </c>
      <c r="P423" s="87" t="s">
        <v>73</v>
      </c>
      <c r="Q423" s="87"/>
      <c r="R423" s="87"/>
      <c r="S423" s="87"/>
      <c r="T423" s="87"/>
      <c r="U423" s="87"/>
      <c r="V423" s="90" t="str">
        <f t="shared" si="43"/>
        <v>Distrital</v>
      </c>
      <c r="W423" s="87" t="s">
        <v>73</v>
      </c>
      <c r="X423" s="87"/>
      <c r="Y423" s="87"/>
      <c r="Z423" s="87"/>
      <c r="AA423" s="87"/>
      <c r="AB423" s="87"/>
      <c r="AC423" s="90" t="str">
        <f t="shared" si="44"/>
        <v>Distrital</v>
      </c>
      <c r="AD423" s="87" t="s">
        <v>73</v>
      </c>
      <c r="AE423" s="87"/>
      <c r="AF423" s="87"/>
      <c r="AG423" s="87"/>
      <c r="AH423" s="87"/>
      <c r="AI423" s="87"/>
      <c r="AJ423" s="87"/>
      <c r="AK423" s="87"/>
      <c r="AL423" s="87"/>
      <c r="AM423" s="87"/>
      <c r="AN423" s="90" t="s">
        <v>1739</v>
      </c>
      <c r="AO423" s="90" t="s">
        <v>1740</v>
      </c>
      <c r="AP423" s="82"/>
      <c r="AQ423" s="87" t="s">
        <v>60</v>
      </c>
      <c r="AR423" s="87" t="s">
        <v>1741</v>
      </c>
      <c r="AS423" s="82"/>
      <c r="AT423" s="87">
        <v>50</v>
      </c>
      <c r="AU423" s="87">
        <v>2</v>
      </c>
      <c r="AV423" s="87">
        <f t="shared" si="40"/>
        <v>52</v>
      </c>
      <c r="AW423" s="87" t="str">
        <f t="shared" si="41"/>
        <v>No Aplica</v>
      </c>
      <c r="AX423" s="87" t="s">
        <v>78</v>
      </c>
      <c r="AY423" s="87"/>
      <c r="AZ423" s="87"/>
      <c r="BA423" s="91" t="s">
        <v>2032</v>
      </c>
      <c r="BB423" s="84"/>
      <c r="BC423" s="85"/>
      <c r="BD423" s="85"/>
    </row>
    <row r="424" spans="1:56" s="86" customFormat="1" ht="46.5" customHeight="1">
      <c r="A424" s="78">
        <v>419</v>
      </c>
      <c r="B424" s="79" t="s">
        <v>2033</v>
      </c>
      <c r="C424" s="88">
        <v>45422</v>
      </c>
      <c r="D424" s="89">
        <v>0.58333333333333337</v>
      </c>
      <c r="E424" s="87" t="s">
        <v>58</v>
      </c>
      <c r="F424" s="87" t="s">
        <v>1142</v>
      </c>
      <c r="G424" s="87" t="s">
        <v>62</v>
      </c>
      <c r="H424" s="90" t="s">
        <v>2034</v>
      </c>
      <c r="I424" s="90" t="s">
        <v>64</v>
      </c>
      <c r="J424" s="87" t="s">
        <v>119</v>
      </c>
      <c r="K424" s="87" t="s">
        <v>610</v>
      </c>
      <c r="L424" s="90" t="s">
        <v>2035</v>
      </c>
      <c r="M424" s="91">
        <v>3104955381</v>
      </c>
      <c r="N424" s="90" t="s">
        <v>2036</v>
      </c>
      <c r="O424" s="90" t="str">
        <f t="shared" si="42"/>
        <v>Distrital</v>
      </c>
      <c r="P424" s="87" t="s">
        <v>73</v>
      </c>
      <c r="Q424" s="87"/>
      <c r="R424" s="87"/>
      <c r="S424" s="87"/>
      <c r="T424" s="87"/>
      <c r="U424" s="87"/>
      <c r="V424" s="90" t="str">
        <f t="shared" si="43"/>
        <v>Distrital</v>
      </c>
      <c r="W424" s="87" t="s">
        <v>73</v>
      </c>
      <c r="X424" s="87"/>
      <c r="Y424" s="87"/>
      <c r="Z424" s="87"/>
      <c r="AA424" s="87"/>
      <c r="AB424" s="87"/>
      <c r="AC424" s="90" t="str">
        <f t="shared" si="44"/>
        <v>Distrital</v>
      </c>
      <c r="AD424" s="87" t="s">
        <v>73</v>
      </c>
      <c r="AE424" s="87"/>
      <c r="AF424" s="87"/>
      <c r="AG424" s="87"/>
      <c r="AH424" s="87"/>
      <c r="AI424" s="87"/>
      <c r="AJ424" s="87"/>
      <c r="AK424" s="87"/>
      <c r="AL424" s="87"/>
      <c r="AM424" s="87"/>
      <c r="AN424" s="90" t="s">
        <v>160</v>
      </c>
      <c r="AO424" s="90" t="s">
        <v>2037</v>
      </c>
      <c r="AP424" s="82"/>
      <c r="AQ424" s="87" t="s">
        <v>59</v>
      </c>
      <c r="AR424" s="87" t="s">
        <v>80</v>
      </c>
      <c r="AS424" s="82"/>
      <c r="AT424" s="87">
        <v>50</v>
      </c>
      <c r="AU424" s="87">
        <v>2</v>
      </c>
      <c r="AV424" s="87">
        <f t="shared" si="40"/>
        <v>52</v>
      </c>
      <c r="AW424" s="87" t="str">
        <f t="shared" si="41"/>
        <v>No Aplica</v>
      </c>
      <c r="AX424" s="87" t="s">
        <v>78</v>
      </c>
      <c r="AY424" s="87"/>
      <c r="AZ424" s="87"/>
      <c r="BA424" s="91" t="s">
        <v>2038</v>
      </c>
      <c r="BB424" s="84"/>
      <c r="BC424" s="85"/>
      <c r="BD424" s="85"/>
    </row>
    <row r="425" spans="1:56" s="86" customFormat="1" ht="46.5" customHeight="1">
      <c r="A425" s="87">
        <v>420</v>
      </c>
      <c r="B425" s="79" t="s">
        <v>2039</v>
      </c>
      <c r="C425" s="88">
        <v>45422</v>
      </c>
      <c r="D425" s="89">
        <v>0.58333333333333337</v>
      </c>
      <c r="E425" s="87" t="s">
        <v>58</v>
      </c>
      <c r="F425" s="87" t="s">
        <v>135</v>
      </c>
      <c r="G425" s="87" t="s">
        <v>62</v>
      </c>
      <c r="H425" s="90" t="s">
        <v>2040</v>
      </c>
      <c r="I425" s="90" t="s">
        <v>64</v>
      </c>
      <c r="J425" s="87" t="s">
        <v>70</v>
      </c>
      <c r="K425" s="87"/>
      <c r="L425" s="90" t="s">
        <v>2041</v>
      </c>
      <c r="M425" s="91">
        <v>3163309109</v>
      </c>
      <c r="N425" s="90" t="s">
        <v>2042</v>
      </c>
      <c r="O425" s="90" t="str">
        <f t="shared" si="42"/>
        <v>Distrital</v>
      </c>
      <c r="P425" s="87" t="s">
        <v>73</v>
      </c>
      <c r="Q425" s="87"/>
      <c r="R425" s="87"/>
      <c r="S425" s="87"/>
      <c r="T425" s="87"/>
      <c r="U425" s="87"/>
      <c r="V425" s="90" t="str">
        <f t="shared" si="43"/>
        <v>Distrital</v>
      </c>
      <c r="W425" s="87" t="s">
        <v>73</v>
      </c>
      <c r="X425" s="87"/>
      <c r="Y425" s="87"/>
      <c r="Z425" s="87"/>
      <c r="AA425" s="87"/>
      <c r="AB425" s="87"/>
      <c r="AC425" s="90" t="str">
        <f t="shared" si="44"/>
        <v>Distrital</v>
      </c>
      <c r="AD425" s="87" t="s">
        <v>73</v>
      </c>
      <c r="AE425" s="87"/>
      <c r="AF425" s="87"/>
      <c r="AG425" s="87"/>
      <c r="AH425" s="87"/>
      <c r="AI425" s="87"/>
      <c r="AJ425" s="87"/>
      <c r="AK425" s="87"/>
      <c r="AL425" s="87"/>
      <c r="AM425" s="87"/>
      <c r="AN425" s="90" t="s">
        <v>160</v>
      </c>
      <c r="AO425" s="90" t="s">
        <v>2043</v>
      </c>
      <c r="AP425" s="82"/>
      <c r="AQ425" s="87" t="s">
        <v>59</v>
      </c>
      <c r="AR425" s="87" t="s">
        <v>80</v>
      </c>
      <c r="AS425" s="82"/>
      <c r="AT425" s="87">
        <v>0</v>
      </c>
      <c r="AU425" s="87">
        <v>7</v>
      </c>
      <c r="AV425" s="87">
        <f t="shared" si="40"/>
        <v>7</v>
      </c>
      <c r="AW425" s="87" t="str">
        <f t="shared" si="41"/>
        <v>No Aplica</v>
      </c>
      <c r="AX425" s="87" t="s">
        <v>78</v>
      </c>
      <c r="AY425" s="87"/>
      <c r="AZ425" s="87"/>
      <c r="BA425" s="91" t="s">
        <v>2044</v>
      </c>
      <c r="BB425" s="84"/>
      <c r="BC425" s="85"/>
      <c r="BD425" s="85"/>
    </row>
    <row r="426" spans="1:56" s="86" customFormat="1" ht="46.5" customHeight="1">
      <c r="A426" s="78">
        <v>421</v>
      </c>
      <c r="B426" s="79" t="s">
        <v>2045</v>
      </c>
      <c r="C426" s="88">
        <v>45423</v>
      </c>
      <c r="D426" s="89">
        <v>0.375</v>
      </c>
      <c r="E426" s="87" t="s">
        <v>58</v>
      </c>
      <c r="F426" s="87" t="s">
        <v>116</v>
      </c>
      <c r="G426" s="87" t="s">
        <v>62</v>
      </c>
      <c r="H426" s="90" t="s">
        <v>1926</v>
      </c>
      <c r="I426" s="90" t="s">
        <v>118</v>
      </c>
      <c r="J426" s="87" t="s">
        <v>173</v>
      </c>
      <c r="K426" s="87"/>
      <c r="L426" s="90" t="s">
        <v>1897</v>
      </c>
      <c r="M426" s="91" t="s">
        <v>2046</v>
      </c>
      <c r="N426" s="90" t="s">
        <v>1898</v>
      </c>
      <c r="O426" s="90" t="str">
        <f t="shared" si="42"/>
        <v>Teusaquillo</v>
      </c>
      <c r="P426" s="87" t="s">
        <v>665</v>
      </c>
      <c r="Q426" s="87"/>
      <c r="R426" s="87"/>
      <c r="S426" s="87"/>
      <c r="T426" s="87"/>
      <c r="U426" s="87"/>
      <c r="V426" s="90" t="str">
        <f t="shared" si="43"/>
        <v>Centro Ampliado</v>
      </c>
      <c r="W426" s="87"/>
      <c r="X426" s="87" t="s">
        <v>415</v>
      </c>
      <c r="Y426" s="87"/>
      <c r="Z426" s="87"/>
      <c r="AA426" s="87"/>
      <c r="AB426" s="87"/>
      <c r="AC426" s="90" t="str">
        <f t="shared" si="44"/>
        <v>Teusaquillo</v>
      </c>
      <c r="AD426" s="87" t="s">
        <v>665</v>
      </c>
      <c r="AE426" s="87"/>
      <c r="AF426" s="87"/>
      <c r="AG426" s="87"/>
      <c r="AH426" s="87"/>
      <c r="AI426" s="87"/>
      <c r="AJ426" s="87"/>
      <c r="AK426" s="87"/>
      <c r="AL426" s="87"/>
      <c r="AM426" s="87"/>
      <c r="AN426" s="90" t="s">
        <v>2047</v>
      </c>
      <c r="AO426" s="90" t="s">
        <v>2048</v>
      </c>
      <c r="AP426" s="82"/>
      <c r="AQ426" s="87" t="s">
        <v>59</v>
      </c>
      <c r="AR426" s="87" t="s">
        <v>80</v>
      </c>
      <c r="AS426" s="82"/>
      <c r="AT426" s="87">
        <v>20</v>
      </c>
      <c r="AU426" s="87">
        <v>4</v>
      </c>
      <c r="AV426" s="87">
        <f t="shared" si="40"/>
        <v>24</v>
      </c>
      <c r="AW426" s="87" t="str">
        <f t="shared" si="41"/>
        <v>No Aplica</v>
      </c>
      <c r="AX426" s="87" t="s">
        <v>78</v>
      </c>
      <c r="AY426" s="87"/>
      <c r="AZ426" s="87"/>
      <c r="BA426" s="91" t="s">
        <v>2049</v>
      </c>
      <c r="BB426" s="84"/>
      <c r="BC426" s="85"/>
      <c r="BD426" s="85"/>
    </row>
    <row r="427" spans="1:56" s="86" customFormat="1" ht="46.5" customHeight="1">
      <c r="A427" s="87">
        <v>422</v>
      </c>
      <c r="B427" s="79" t="s">
        <v>2050</v>
      </c>
      <c r="C427" s="88">
        <v>45423</v>
      </c>
      <c r="D427" s="89">
        <v>0.375</v>
      </c>
      <c r="E427" s="87" t="s">
        <v>58</v>
      </c>
      <c r="F427" s="87" t="s">
        <v>61</v>
      </c>
      <c r="G427" s="87" t="s">
        <v>62</v>
      </c>
      <c r="H427" s="90" t="s">
        <v>2051</v>
      </c>
      <c r="I427" s="90" t="s">
        <v>64</v>
      </c>
      <c r="J427" s="87" t="s">
        <v>173</v>
      </c>
      <c r="K427" s="87"/>
      <c r="L427" s="90" t="s">
        <v>2052</v>
      </c>
      <c r="M427" s="91">
        <v>6013387000</v>
      </c>
      <c r="N427" s="90" t="s">
        <v>2053</v>
      </c>
      <c r="O427" s="90" t="str">
        <f t="shared" si="42"/>
        <v>Distrital</v>
      </c>
      <c r="P427" s="87" t="s">
        <v>73</v>
      </c>
      <c r="Q427" s="87"/>
      <c r="R427" s="87"/>
      <c r="S427" s="87"/>
      <c r="T427" s="87"/>
      <c r="U427" s="87"/>
      <c r="V427" s="90" t="str">
        <f t="shared" si="43"/>
        <v>Distrital</v>
      </c>
      <c r="W427" s="87" t="s">
        <v>73</v>
      </c>
      <c r="X427" s="87"/>
      <c r="Y427" s="87"/>
      <c r="Z427" s="87"/>
      <c r="AA427" s="87"/>
      <c r="AB427" s="87"/>
      <c r="AC427" s="90" t="str">
        <f t="shared" si="44"/>
        <v>Distrital</v>
      </c>
      <c r="AD427" s="87" t="s">
        <v>73</v>
      </c>
      <c r="AE427" s="87"/>
      <c r="AF427" s="87"/>
      <c r="AG427" s="87"/>
      <c r="AH427" s="87"/>
      <c r="AI427" s="87"/>
      <c r="AJ427" s="87"/>
      <c r="AK427" s="87"/>
      <c r="AL427" s="87"/>
      <c r="AM427" s="87"/>
      <c r="AN427" s="90" t="s">
        <v>1739</v>
      </c>
      <c r="AO427" s="90" t="s">
        <v>1740</v>
      </c>
      <c r="AP427" s="82"/>
      <c r="AQ427" s="87" t="s">
        <v>60</v>
      </c>
      <c r="AR427" s="87" t="s">
        <v>77</v>
      </c>
      <c r="AS427" s="82"/>
      <c r="AT427" s="87">
        <v>31</v>
      </c>
      <c r="AU427" s="87">
        <v>3</v>
      </c>
      <c r="AV427" s="87">
        <f t="shared" si="40"/>
        <v>34</v>
      </c>
      <c r="AW427" s="87" t="str">
        <f t="shared" si="41"/>
        <v>No Aplica</v>
      </c>
      <c r="AX427" s="87" t="s">
        <v>78</v>
      </c>
      <c r="AY427" s="87"/>
      <c r="AZ427" s="87"/>
      <c r="BA427" s="91" t="s">
        <v>2054</v>
      </c>
      <c r="BB427" s="84"/>
      <c r="BC427" s="85"/>
      <c r="BD427" s="85"/>
    </row>
    <row r="428" spans="1:56" s="86" customFormat="1" ht="46.5" customHeight="1">
      <c r="A428" s="78">
        <v>423</v>
      </c>
      <c r="B428" s="79" t="s">
        <v>2055</v>
      </c>
      <c r="C428" s="88">
        <v>45425</v>
      </c>
      <c r="D428" s="89">
        <v>0.41666666666666669</v>
      </c>
      <c r="E428" s="87" t="s">
        <v>58</v>
      </c>
      <c r="F428" s="87" t="s">
        <v>135</v>
      </c>
      <c r="G428" s="87" t="s">
        <v>95</v>
      </c>
      <c r="H428" s="90" t="s">
        <v>2056</v>
      </c>
      <c r="I428" s="90" t="s">
        <v>64</v>
      </c>
      <c r="J428" s="87" t="s">
        <v>70</v>
      </c>
      <c r="K428" s="87"/>
      <c r="L428" s="90" t="s">
        <v>2041</v>
      </c>
      <c r="M428" s="91">
        <v>3163309109</v>
      </c>
      <c r="N428" s="90" t="s">
        <v>2042</v>
      </c>
      <c r="O428" s="90" t="str">
        <f t="shared" si="42"/>
        <v>Distrital</v>
      </c>
      <c r="P428" s="87" t="s">
        <v>73</v>
      </c>
      <c r="Q428" s="87"/>
      <c r="R428" s="87"/>
      <c r="S428" s="87"/>
      <c r="T428" s="87"/>
      <c r="U428" s="87"/>
      <c r="V428" s="90" t="str">
        <f t="shared" si="43"/>
        <v>Distrital</v>
      </c>
      <c r="W428" s="87" t="s">
        <v>73</v>
      </c>
      <c r="X428" s="87"/>
      <c r="Y428" s="87"/>
      <c r="Z428" s="87"/>
      <c r="AA428" s="87"/>
      <c r="AB428" s="87"/>
      <c r="AC428" s="90" t="str">
        <f t="shared" si="44"/>
        <v>Distrital</v>
      </c>
      <c r="AD428" s="87" t="s">
        <v>73</v>
      </c>
      <c r="AE428" s="87"/>
      <c r="AF428" s="87"/>
      <c r="AG428" s="87"/>
      <c r="AH428" s="87"/>
      <c r="AI428" s="87"/>
      <c r="AJ428" s="87"/>
      <c r="AK428" s="87"/>
      <c r="AL428" s="87"/>
      <c r="AM428" s="87"/>
      <c r="AN428" s="90" t="s">
        <v>160</v>
      </c>
      <c r="AO428" s="92" t="s">
        <v>2057</v>
      </c>
      <c r="AP428" s="82"/>
      <c r="AQ428" s="87" t="s">
        <v>59</v>
      </c>
      <c r="AR428" s="87" t="s">
        <v>80</v>
      </c>
      <c r="AS428" s="82"/>
      <c r="AT428" s="87">
        <v>0</v>
      </c>
      <c r="AU428" s="87">
        <v>6</v>
      </c>
      <c r="AV428" s="87">
        <f t="shared" si="40"/>
        <v>6</v>
      </c>
      <c r="AW428" s="87" t="str">
        <f t="shared" si="41"/>
        <v>No Aplica</v>
      </c>
      <c r="AX428" s="87" t="s">
        <v>78</v>
      </c>
      <c r="AY428" s="87"/>
      <c r="AZ428" s="87"/>
      <c r="BA428" s="91" t="s">
        <v>2058</v>
      </c>
      <c r="BB428" s="84"/>
      <c r="BC428" s="85"/>
      <c r="BD428" s="85"/>
    </row>
    <row r="429" spans="1:56" s="86" customFormat="1" ht="46.5" customHeight="1">
      <c r="A429" s="87">
        <v>424</v>
      </c>
      <c r="B429" s="79" t="s">
        <v>2059</v>
      </c>
      <c r="C429" s="88">
        <v>45426</v>
      </c>
      <c r="D429" s="89">
        <v>0.33333333333333331</v>
      </c>
      <c r="E429" s="87" t="s">
        <v>58</v>
      </c>
      <c r="F429" s="87" t="s">
        <v>135</v>
      </c>
      <c r="G429" s="87" t="s">
        <v>62</v>
      </c>
      <c r="H429" s="90" t="s">
        <v>2060</v>
      </c>
      <c r="I429" s="90" t="s">
        <v>64</v>
      </c>
      <c r="J429" s="87" t="s">
        <v>70</v>
      </c>
      <c r="K429" s="87" t="s">
        <v>71</v>
      </c>
      <c r="L429" s="90" t="s">
        <v>72</v>
      </c>
      <c r="M429" s="91" t="s">
        <v>72</v>
      </c>
      <c r="N429" s="90" t="s">
        <v>72</v>
      </c>
      <c r="O429" s="90" t="str">
        <f t="shared" si="42"/>
        <v>Distrital</v>
      </c>
      <c r="P429" s="87" t="s">
        <v>73</v>
      </c>
      <c r="Q429" s="87"/>
      <c r="R429" s="87"/>
      <c r="S429" s="87"/>
      <c r="T429" s="87"/>
      <c r="U429" s="87"/>
      <c r="V429" s="90" t="str">
        <f t="shared" si="43"/>
        <v>Distrital</v>
      </c>
      <c r="W429" s="87" t="s">
        <v>73</v>
      </c>
      <c r="X429" s="87"/>
      <c r="Y429" s="87"/>
      <c r="Z429" s="87"/>
      <c r="AA429" s="87"/>
      <c r="AB429" s="87"/>
      <c r="AC429" s="90" t="str">
        <f t="shared" si="44"/>
        <v>Distrital</v>
      </c>
      <c r="AD429" s="87" t="s">
        <v>73</v>
      </c>
      <c r="AE429" s="87"/>
      <c r="AF429" s="87"/>
      <c r="AG429" s="87"/>
      <c r="AH429" s="87"/>
      <c r="AI429" s="87"/>
      <c r="AJ429" s="87"/>
      <c r="AK429" s="87"/>
      <c r="AL429" s="87"/>
      <c r="AM429" s="87"/>
      <c r="AN429" s="90" t="s">
        <v>160</v>
      </c>
      <c r="AO429" s="92" t="s">
        <v>2062</v>
      </c>
      <c r="AP429" s="82"/>
      <c r="AQ429" s="87" t="s">
        <v>59</v>
      </c>
      <c r="AR429" s="87" t="s">
        <v>80</v>
      </c>
      <c r="AS429" s="82"/>
      <c r="AT429" s="87">
        <v>0</v>
      </c>
      <c r="AU429" s="87">
        <v>50</v>
      </c>
      <c r="AV429" s="87">
        <f>AT429+AU429</f>
        <v>50</v>
      </c>
      <c r="AW429" s="87" t="str">
        <f t="shared" si="41"/>
        <v>No Aplica</v>
      </c>
      <c r="AX429" s="87" t="s">
        <v>78</v>
      </c>
      <c r="AY429" s="87"/>
      <c r="AZ429" s="87"/>
      <c r="BA429" s="91" t="s">
        <v>2063</v>
      </c>
      <c r="BB429" s="84"/>
      <c r="BC429" s="85"/>
      <c r="BD429" s="85"/>
    </row>
    <row r="430" spans="1:56" s="86" customFormat="1" ht="46.5" customHeight="1">
      <c r="A430" s="78">
        <v>425</v>
      </c>
      <c r="B430" s="79" t="s">
        <v>631</v>
      </c>
      <c r="C430" s="88">
        <v>45426</v>
      </c>
      <c r="D430" s="89">
        <v>0.35416666666666669</v>
      </c>
      <c r="E430" s="87" t="s">
        <v>93</v>
      </c>
      <c r="F430" s="87" t="s">
        <v>321</v>
      </c>
      <c r="G430" s="87" t="s">
        <v>62</v>
      </c>
      <c r="H430" s="90" t="s">
        <v>2064</v>
      </c>
      <c r="I430" s="90" t="s">
        <v>64</v>
      </c>
      <c r="J430" s="87" t="s">
        <v>70</v>
      </c>
      <c r="K430" s="87" t="s">
        <v>1810</v>
      </c>
      <c r="L430" s="90" t="s">
        <v>2065</v>
      </c>
      <c r="M430" s="91">
        <v>3005698632</v>
      </c>
      <c r="N430" s="90" t="s">
        <v>634</v>
      </c>
      <c r="O430" s="90" t="str">
        <f t="shared" si="42"/>
        <v>Engativá</v>
      </c>
      <c r="P430" s="87" t="s">
        <v>123</v>
      </c>
      <c r="Q430" s="87"/>
      <c r="R430" s="87"/>
      <c r="S430" s="87"/>
      <c r="T430" s="87"/>
      <c r="U430" s="87"/>
      <c r="V430" s="90" t="str">
        <f t="shared" si="43"/>
        <v>Occidente</v>
      </c>
      <c r="W430" s="87" t="s">
        <v>124</v>
      </c>
      <c r="X430" s="87"/>
      <c r="Y430" s="87"/>
      <c r="Z430" s="87"/>
      <c r="AA430" s="87"/>
      <c r="AB430" s="87"/>
      <c r="AC430" s="90" t="str">
        <f t="shared" si="44"/>
        <v>Engativá, Tabora, Salitre</v>
      </c>
      <c r="AD430" s="87" t="s">
        <v>123</v>
      </c>
      <c r="AE430" s="87" t="s">
        <v>257</v>
      </c>
      <c r="AF430" s="87" t="s">
        <v>258</v>
      </c>
      <c r="AG430" s="87"/>
      <c r="AH430" s="87"/>
      <c r="AI430" s="87"/>
      <c r="AJ430" s="87"/>
      <c r="AK430" s="87"/>
      <c r="AL430" s="87"/>
      <c r="AM430" s="87"/>
      <c r="AN430" s="90" t="s">
        <v>1689</v>
      </c>
      <c r="AO430" s="90" t="s">
        <v>2066</v>
      </c>
      <c r="AP430" s="82"/>
      <c r="AQ430" s="87" t="s">
        <v>59</v>
      </c>
      <c r="AR430" s="87" t="s">
        <v>80</v>
      </c>
      <c r="AS430" s="82"/>
      <c r="AT430" s="87">
        <v>23</v>
      </c>
      <c r="AU430" s="87">
        <v>1</v>
      </c>
      <c r="AV430" s="87">
        <f t="shared" si="40"/>
        <v>24</v>
      </c>
      <c r="AW430" s="87" t="str">
        <f t="shared" si="41"/>
        <v>No Aplica</v>
      </c>
      <c r="AX430" s="87" t="s">
        <v>78</v>
      </c>
      <c r="AY430" s="87"/>
      <c r="AZ430" s="87"/>
      <c r="BA430" s="91" t="s">
        <v>2067</v>
      </c>
      <c r="BB430" s="84"/>
      <c r="BC430" s="85"/>
      <c r="BD430" s="85"/>
    </row>
    <row r="431" spans="1:56" s="86" customFormat="1" ht="46.5" customHeight="1">
      <c r="A431" s="87">
        <v>426</v>
      </c>
      <c r="B431" s="79" t="s">
        <v>2068</v>
      </c>
      <c r="C431" s="88">
        <v>45426</v>
      </c>
      <c r="D431" s="89">
        <v>0.375</v>
      </c>
      <c r="E431" s="87" t="s">
        <v>58</v>
      </c>
      <c r="F431" s="87" t="s">
        <v>61</v>
      </c>
      <c r="G431" s="87" t="s">
        <v>62</v>
      </c>
      <c r="H431" s="90" t="s">
        <v>1737</v>
      </c>
      <c r="I431" s="90" t="s">
        <v>172</v>
      </c>
      <c r="J431" s="87" t="s">
        <v>70</v>
      </c>
      <c r="K431" s="87" t="s">
        <v>300</v>
      </c>
      <c r="L431" s="90" t="s">
        <v>1836</v>
      </c>
      <c r="M431" s="91">
        <v>3105844361</v>
      </c>
      <c r="N431" s="90" t="s">
        <v>1837</v>
      </c>
      <c r="O431" s="90" t="str">
        <f t="shared" si="42"/>
        <v>Distrital</v>
      </c>
      <c r="P431" s="87" t="s">
        <v>73</v>
      </c>
      <c r="Q431" s="87"/>
      <c r="R431" s="87"/>
      <c r="S431" s="87"/>
      <c r="T431" s="87"/>
      <c r="U431" s="87"/>
      <c r="V431" s="90" t="str">
        <f t="shared" si="43"/>
        <v>Distrital</v>
      </c>
      <c r="W431" s="87" t="s">
        <v>73</v>
      </c>
      <c r="X431" s="87"/>
      <c r="Y431" s="87"/>
      <c r="Z431" s="87"/>
      <c r="AA431" s="87"/>
      <c r="AB431" s="87"/>
      <c r="AC431" s="90" t="str">
        <f t="shared" si="44"/>
        <v>Distrital</v>
      </c>
      <c r="AD431" s="87" t="s">
        <v>73</v>
      </c>
      <c r="AE431" s="87"/>
      <c r="AF431" s="87"/>
      <c r="AG431" s="87"/>
      <c r="AH431" s="87"/>
      <c r="AI431" s="87"/>
      <c r="AJ431" s="87"/>
      <c r="AK431" s="87"/>
      <c r="AL431" s="87"/>
      <c r="AM431" s="87"/>
      <c r="AN431" s="90" t="s">
        <v>1739</v>
      </c>
      <c r="AO431" s="90" t="s">
        <v>1740</v>
      </c>
      <c r="AP431" s="82"/>
      <c r="AQ431" s="87" t="s">
        <v>60</v>
      </c>
      <c r="AR431" s="87" t="s">
        <v>1741</v>
      </c>
      <c r="AS431" s="82"/>
      <c r="AT431" s="87">
        <v>18</v>
      </c>
      <c r="AU431" s="87">
        <v>3</v>
      </c>
      <c r="AV431" s="87">
        <f t="shared" si="40"/>
        <v>21</v>
      </c>
      <c r="AW431" s="87" t="str">
        <f t="shared" ref="AW431:AW473" si="45">_xlfn.TEXTJOIN(", ",TRUE,$AX431:$AZ431)</f>
        <v>Horarios Acordes</v>
      </c>
      <c r="AX431" s="87" t="s">
        <v>213</v>
      </c>
      <c r="AY431" s="87"/>
      <c r="AZ431" s="87"/>
      <c r="BA431" s="91" t="s">
        <v>2069</v>
      </c>
      <c r="BB431" s="84"/>
      <c r="BC431" s="85"/>
      <c r="BD431" s="85"/>
    </row>
    <row r="432" spans="1:56" s="86" customFormat="1" ht="46.5" customHeight="1">
      <c r="A432" s="78">
        <v>427</v>
      </c>
      <c r="B432" s="79" t="s">
        <v>2027</v>
      </c>
      <c r="C432" s="88">
        <v>45426</v>
      </c>
      <c r="D432" s="89">
        <v>0.375</v>
      </c>
      <c r="E432" s="87" t="s">
        <v>58</v>
      </c>
      <c r="F432" s="87" t="s">
        <v>61</v>
      </c>
      <c r="G432" s="87" t="s">
        <v>62</v>
      </c>
      <c r="H432" s="90" t="s">
        <v>1904</v>
      </c>
      <c r="I432" s="90" t="s">
        <v>172</v>
      </c>
      <c r="J432" s="87" t="s">
        <v>70</v>
      </c>
      <c r="K432" s="87" t="s">
        <v>300</v>
      </c>
      <c r="L432" s="90" t="s">
        <v>72</v>
      </c>
      <c r="M432" s="91" t="s">
        <v>72</v>
      </c>
      <c r="N432" s="90" t="s">
        <v>72</v>
      </c>
      <c r="O432" s="90" t="str">
        <f t="shared" si="42"/>
        <v>Distrital</v>
      </c>
      <c r="P432" s="87" t="s">
        <v>73</v>
      </c>
      <c r="Q432" s="87"/>
      <c r="R432" s="87"/>
      <c r="S432" s="87"/>
      <c r="T432" s="87"/>
      <c r="U432" s="87"/>
      <c r="V432" s="90" t="str">
        <f t="shared" si="43"/>
        <v>Distrital</v>
      </c>
      <c r="W432" s="87" t="s">
        <v>73</v>
      </c>
      <c r="X432" s="87"/>
      <c r="Y432" s="87"/>
      <c r="Z432" s="87"/>
      <c r="AA432" s="87"/>
      <c r="AB432" s="87"/>
      <c r="AC432" s="90" t="str">
        <f t="shared" si="44"/>
        <v>Distrital</v>
      </c>
      <c r="AD432" s="87" t="s">
        <v>73</v>
      </c>
      <c r="AE432" s="87"/>
      <c r="AF432" s="87"/>
      <c r="AG432" s="87"/>
      <c r="AH432" s="87"/>
      <c r="AI432" s="87"/>
      <c r="AJ432" s="87"/>
      <c r="AK432" s="87"/>
      <c r="AL432" s="87"/>
      <c r="AM432" s="87"/>
      <c r="AN432" s="90" t="s">
        <v>1739</v>
      </c>
      <c r="AO432" s="90" t="s">
        <v>1740</v>
      </c>
      <c r="AP432" s="82"/>
      <c r="AQ432" s="87" t="s">
        <v>60</v>
      </c>
      <c r="AR432" s="87" t="s">
        <v>1741</v>
      </c>
      <c r="AS432" s="82"/>
      <c r="AT432" s="87">
        <v>130</v>
      </c>
      <c r="AU432" s="87">
        <v>7</v>
      </c>
      <c r="AV432" s="87">
        <f t="shared" si="40"/>
        <v>137</v>
      </c>
      <c r="AW432" s="87" t="str">
        <f t="shared" si="45"/>
        <v>No Aplica</v>
      </c>
      <c r="AX432" s="87" t="s">
        <v>78</v>
      </c>
      <c r="AY432" s="87"/>
      <c r="AZ432" s="87"/>
      <c r="BA432" s="91" t="s">
        <v>2070</v>
      </c>
      <c r="BB432" s="84"/>
      <c r="BC432" s="85"/>
      <c r="BD432" s="85"/>
    </row>
    <row r="433" spans="1:56" s="86" customFormat="1" ht="46.5" customHeight="1">
      <c r="A433" s="87">
        <v>428</v>
      </c>
      <c r="B433" s="79" t="s">
        <v>909</v>
      </c>
      <c r="C433" s="88">
        <v>45426</v>
      </c>
      <c r="D433" s="89">
        <v>0.41666666666666669</v>
      </c>
      <c r="E433" s="87" t="s">
        <v>93</v>
      </c>
      <c r="F433" s="87" t="s">
        <v>321</v>
      </c>
      <c r="G433" s="87" t="s">
        <v>62</v>
      </c>
      <c r="H433" s="90" t="s">
        <v>910</v>
      </c>
      <c r="I433" s="90" t="s">
        <v>64</v>
      </c>
      <c r="J433" s="87" t="s">
        <v>70</v>
      </c>
      <c r="K433" s="87" t="s">
        <v>1810</v>
      </c>
      <c r="L433" s="90" t="s">
        <v>911</v>
      </c>
      <c r="M433" s="91">
        <v>3202026914</v>
      </c>
      <c r="N433" s="90" t="s">
        <v>913</v>
      </c>
      <c r="O433" s="90" t="str">
        <f t="shared" si="42"/>
        <v>Tunjuelito</v>
      </c>
      <c r="P433" s="87" t="s">
        <v>618</v>
      </c>
      <c r="Q433" s="87"/>
      <c r="R433" s="87"/>
      <c r="S433" s="87"/>
      <c r="T433" s="87"/>
      <c r="U433" s="87"/>
      <c r="V433" s="90" t="str">
        <f t="shared" si="43"/>
        <v>Suroriente</v>
      </c>
      <c r="W433" s="87" t="s">
        <v>108</v>
      </c>
      <c r="X433" s="87"/>
      <c r="Y433" s="87"/>
      <c r="Z433" s="87"/>
      <c r="AA433" s="87"/>
      <c r="AB433" s="87"/>
      <c r="AC433" s="90" t="str">
        <f t="shared" si="44"/>
        <v>Tunjuelito, Arborizadora</v>
      </c>
      <c r="AD433" s="87" t="s">
        <v>618</v>
      </c>
      <c r="AE433" s="87" t="s">
        <v>110</v>
      </c>
      <c r="AF433" s="87"/>
      <c r="AG433" s="87"/>
      <c r="AH433" s="87"/>
      <c r="AI433" s="87"/>
      <c r="AJ433" s="87"/>
      <c r="AK433" s="87"/>
      <c r="AL433" s="87"/>
      <c r="AM433" s="87"/>
      <c r="AN433" s="90" t="s">
        <v>160</v>
      </c>
      <c r="AO433" s="90" t="s">
        <v>2071</v>
      </c>
      <c r="AP433" s="82"/>
      <c r="AQ433" s="87" t="s">
        <v>59</v>
      </c>
      <c r="AR433" s="87" t="s">
        <v>80</v>
      </c>
      <c r="AS433" s="82"/>
      <c r="AT433" s="87">
        <v>19</v>
      </c>
      <c r="AU433" s="87">
        <v>1</v>
      </c>
      <c r="AV433" s="87">
        <f t="shared" si="40"/>
        <v>20</v>
      </c>
      <c r="AW433" s="87" t="str">
        <f t="shared" si="45"/>
        <v>No Aplica</v>
      </c>
      <c r="AX433" s="87" t="s">
        <v>78</v>
      </c>
      <c r="AY433" s="87"/>
      <c r="AZ433" s="87"/>
      <c r="BA433" s="91" t="s">
        <v>2072</v>
      </c>
      <c r="BB433" s="84"/>
      <c r="BC433" s="85"/>
      <c r="BD433" s="85"/>
    </row>
    <row r="434" spans="1:56" s="86" customFormat="1" ht="46.5" customHeight="1">
      <c r="A434" s="78">
        <v>429</v>
      </c>
      <c r="B434" s="79" t="s">
        <v>2073</v>
      </c>
      <c r="C434" s="88">
        <v>45426</v>
      </c>
      <c r="D434" s="89">
        <v>0.58333333333333337</v>
      </c>
      <c r="E434" s="87" t="s">
        <v>58</v>
      </c>
      <c r="F434" s="87" t="s">
        <v>1750</v>
      </c>
      <c r="G434" s="87" t="s">
        <v>95</v>
      </c>
      <c r="H434" s="90" t="s">
        <v>2074</v>
      </c>
      <c r="I434" s="90" t="s">
        <v>64</v>
      </c>
      <c r="J434" s="87" t="s">
        <v>70</v>
      </c>
      <c r="K434" s="87" t="s">
        <v>71</v>
      </c>
      <c r="L434" s="90" t="s">
        <v>72</v>
      </c>
      <c r="M434" s="91" t="s">
        <v>72</v>
      </c>
      <c r="N434" s="90" t="s">
        <v>72</v>
      </c>
      <c r="O434" s="90" t="str">
        <f t="shared" si="42"/>
        <v>Distrital</v>
      </c>
      <c r="P434" s="87" t="s">
        <v>73</v>
      </c>
      <c r="Q434" s="87"/>
      <c r="R434" s="87"/>
      <c r="S434" s="87"/>
      <c r="T434" s="87"/>
      <c r="U434" s="87"/>
      <c r="V434" s="90" t="str">
        <f t="shared" si="43"/>
        <v>Distrital</v>
      </c>
      <c r="W434" s="87" t="s">
        <v>73</v>
      </c>
      <c r="X434" s="87"/>
      <c r="Y434" s="87"/>
      <c r="Z434" s="87"/>
      <c r="AA434" s="87"/>
      <c r="AB434" s="87"/>
      <c r="AC434" s="90" t="str">
        <f t="shared" si="44"/>
        <v>Distrital</v>
      </c>
      <c r="AD434" s="87" t="s">
        <v>73</v>
      </c>
      <c r="AE434" s="87"/>
      <c r="AF434" s="87"/>
      <c r="AG434" s="87"/>
      <c r="AH434" s="87"/>
      <c r="AI434" s="87"/>
      <c r="AJ434" s="87"/>
      <c r="AK434" s="87"/>
      <c r="AL434" s="87"/>
      <c r="AM434" s="87"/>
      <c r="AN434" s="90" t="s">
        <v>160</v>
      </c>
      <c r="AO434" s="90"/>
      <c r="AP434" s="82"/>
      <c r="AQ434" s="87" t="s">
        <v>59</v>
      </c>
      <c r="AR434" s="87" t="s">
        <v>80</v>
      </c>
      <c r="AS434" s="82"/>
      <c r="AT434" s="87">
        <v>0</v>
      </c>
      <c r="AU434" s="87">
        <v>8</v>
      </c>
      <c r="AV434" s="87">
        <f t="shared" si="40"/>
        <v>8</v>
      </c>
      <c r="AW434" s="87" t="str">
        <f t="shared" si="45"/>
        <v>No Aplica</v>
      </c>
      <c r="AX434" s="87" t="s">
        <v>78</v>
      </c>
      <c r="AY434" s="87"/>
      <c r="AZ434" s="87"/>
      <c r="BA434" s="91" t="s">
        <v>2075</v>
      </c>
      <c r="BB434" s="84"/>
      <c r="BC434" s="85"/>
      <c r="BD434" s="85"/>
    </row>
    <row r="435" spans="1:56" s="86" customFormat="1" ht="46.5" customHeight="1">
      <c r="A435" s="87">
        <v>430</v>
      </c>
      <c r="B435" s="79" t="s">
        <v>2076</v>
      </c>
      <c r="C435" s="88">
        <v>45426</v>
      </c>
      <c r="D435" s="89">
        <v>0.625</v>
      </c>
      <c r="E435" s="87" t="s">
        <v>58</v>
      </c>
      <c r="F435" s="87" t="s">
        <v>61</v>
      </c>
      <c r="G435" s="87" t="s">
        <v>62</v>
      </c>
      <c r="H435" s="90" t="s">
        <v>2077</v>
      </c>
      <c r="I435" s="90" t="s">
        <v>64</v>
      </c>
      <c r="J435" s="87" t="s">
        <v>376</v>
      </c>
      <c r="K435" s="87"/>
      <c r="L435" s="90" t="s">
        <v>1120</v>
      </c>
      <c r="M435" s="91" t="s">
        <v>72</v>
      </c>
      <c r="N435" s="90" t="s">
        <v>1121</v>
      </c>
      <c r="O435" s="90" t="str">
        <f t="shared" si="42"/>
        <v>Distrital</v>
      </c>
      <c r="P435" s="87" t="s">
        <v>73</v>
      </c>
      <c r="Q435" s="87"/>
      <c r="R435" s="87"/>
      <c r="S435" s="87"/>
      <c r="T435" s="87"/>
      <c r="U435" s="87"/>
      <c r="V435" s="90" t="str">
        <f t="shared" si="43"/>
        <v>Distrital</v>
      </c>
      <c r="W435" s="87" t="s">
        <v>73</v>
      </c>
      <c r="X435" s="87"/>
      <c r="Y435" s="87"/>
      <c r="Z435" s="87"/>
      <c r="AA435" s="87"/>
      <c r="AB435" s="87"/>
      <c r="AC435" s="90" t="str">
        <f t="shared" si="44"/>
        <v>Distrital</v>
      </c>
      <c r="AD435" s="87" t="s">
        <v>73</v>
      </c>
      <c r="AE435" s="87"/>
      <c r="AF435" s="87"/>
      <c r="AG435" s="87"/>
      <c r="AH435" s="87"/>
      <c r="AI435" s="87"/>
      <c r="AJ435" s="87"/>
      <c r="AK435" s="87"/>
      <c r="AL435" s="87"/>
      <c r="AM435" s="87"/>
      <c r="AN435" s="90" t="s">
        <v>160</v>
      </c>
      <c r="AO435" s="92" t="s">
        <v>2078</v>
      </c>
      <c r="AP435" s="82"/>
      <c r="AQ435" s="87" t="s">
        <v>59</v>
      </c>
      <c r="AR435" s="87" t="s">
        <v>77</v>
      </c>
      <c r="AS435" s="82"/>
      <c r="AT435" s="87">
        <v>3</v>
      </c>
      <c r="AU435" s="87">
        <v>3</v>
      </c>
      <c r="AV435" s="87">
        <f t="shared" si="40"/>
        <v>6</v>
      </c>
      <c r="AW435" s="87" t="str">
        <f t="shared" si="45"/>
        <v>No Aplica</v>
      </c>
      <c r="AX435" s="87" t="s">
        <v>78</v>
      </c>
      <c r="AY435" s="87"/>
      <c r="AZ435" s="87"/>
      <c r="BA435" s="91" t="s">
        <v>2079</v>
      </c>
      <c r="BB435" s="84"/>
      <c r="BC435" s="85"/>
      <c r="BD435" s="85"/>
    </row>
    <row r="436" spans="1:56" s="86" customFormat="1" ht="46.5" customHeight="1">
      <c r="A436" s="78">
        <v>431</v>
      </c>
      <c r="B436" s="79" t="s">
        <v>2030</v>
      </c>
      <c r="C436" s="88">
        <v>45426</v>
      </c>
      <c r="D436" s="89">
        <v>0.58333333333333337</v>
      </c>
      <c r="E436" s="87" t="s">
        <v>58</v>
      </c>
      <c r="F436" s="87" t="s">
        <v>61</v>
      </c>
      <c r="G436" s="87" t="s">
        <v>62</v>
      </c>
      <c r="H436" s="90" t="s">
        <v>2080</v>
      </c>
      <c r="I436" s="90" t="s">
        <v>172</v>
      </c>
      <c r="J436" s="87" t="s">
        <v>70</v>
      </c>
      <c r="K436" s="87" t="s">
        <v>300</v>
      </c>
      <c r="L436" s="90" t="s">
        <v>72</v>
      </c>
      <c r="M436" s="91" t="s">
        <v>72</v>
      </c>
      <c r="N436" s="90" t="s">
        <v>72</v>
      </c>
      <c r="O436" s="90" t="str">
        <f t="shared" si="42"/>
        <v>Distrital</v>
      </c>
      <c r="P436" s="87" t="s">
        <v>73</v>
      </c>
      <c r="Q436" s="87"/>
      <c r="R436" s="87"/>
      <c r="S436" s="87"/>
      <c r="T436" s="87"/>
      <c r="U436" s="87"/>
      <c r="V436" s="90" t="str">
        <f t="shared" si="43"/>
        <v>Distrital</v>
      </c>
      <c r="W436" s="87" t="s">
        <v>73</v>
      </c>
      <c r="X436" s="87"/>
      <c r="Y436" s="87"/>
      <c r="Z436" s="87"/>
      <c r="AA436" s="87"/>
      <c r="AB436" s="87"/>
      <c r="AC436" s="90" t="str">
        <f t="shared" si="44"/>
        <v>Distrital</v>
      </c>
      <c r="AD436" s="87" t="s">
        <v>73</v>
      </c>
      <c r="AE436" s="87"/>
      <c r="AF436" s="87"/>
      <c r="AG436" s="87"/>
      <c r="AH436" s="87"/>
      <c r="AI436" s="87"/>
      <c r="AJ436" s="87"/>
      <c r="AK436" s="87"/>
      <c r="AL436" s="87"/>
      <c r="AM436" s="87"/>
      <c r="AN436" s="90" t="s">
        <v>1739</v>
      </c>
      <c r="AO436" s="90" t="s">
        <v>1740</v>
      </c>
      <c r="AP436" s="82"/>
      <c r="AQ436" s="87" t="s">
        <v>60</v>
      </c>
      <c r="AR436" s="87" t="s">
        <v>1741</v>
      </c>
      <c r="AS436" s="82"/>
      <c r="AT436" s="87">
        <v>60</v>
      </c>
      <c r="AU436" s="87">
        <v>5</v>
      </c>
      <c r="AV436" s="87">
        <f t="shared" si="40"/>
        <v>65</v>
      </c>
      <c r="AW436" s="87" t="str">
        <f t="shared" si="45"/>
        <v>Lenguaje de señas, Horarios Acordes, Accesibilidad Universal</v>
      </c>
      <c r="AX436" s="87" t="s">
        <v>211</v>
      </c>
      <c r="AY436" s="87" t="s">
        <v>213</v>
      </c>
      <c r="AZ436" s="87" t="s">
        <v>246</v>
      </c>
      <c r="BA436" s="91" t="s">
        <v>2081</v>
      </c>
      <c r="BB436" s="84"/>
      <c r="BC436" s="85"/>
      <c r="BD436" s="85"/>
    </row>
    <row r="437" spans="1:56" s="86" customFormat="1" ht="46.5" customHeight="1">
      <c r="A437" s="87">
        <v>432</v>
      </c>
      <c r="B437" s="79" t="s">
        <v>2082</v>
      </c>
      <c r="C437" s="88">
        <v>45426</v>
      </c>
      <c r="D437" s="89">
        <v>0.58333333333333337</v>
      </c>
      <c r="E437" s="87" t="s">
        <v>93</v>
      </c>
      <c r="F437" s="87" t="s">
        <v>102</v>
      </c>
      <c r="G437" s="87" t="s">
        <v>62</v>
      </c>
      <c r="H437" s="90" t="s">
        <v>2083</v>
      </c>
      <c r="I437" s="90" t="s">
        <v>118</v>
      </c>
      <c r="J437" s="87" t="s">
        <v>119</v>
      </c>
      <c r="K437" s="87" t="s">
        <v>129</v>
      </c>
      <c r="L437" s="90" t="s">
        <v>2084</v>
      </c>
      <c r="M437" s="91">
        <v>3142993840</v>
      </c>
      <c r="N437" s="90" t="s">
        <v>2085</v>
      </c>
      <c r="O437" s="90" t="str">
        <f t="shared" si="42"/>
        <v>Distrital</v>
      </c>
      <c r="P437" s="87" t="s">
        <v>73</v>
      </c>
      <c r="Q437" s="87"/>
      <c r="R437" s="87"/>
      <c r="S437" s="87"/>
      <c r="T437" s="87"/>
      <c r="U437" s="87"/>
      <c r="V437" s="90" t="str">
        <f t="shared" si="43"/>
        <v>Distrital</v>
      </c>
      <c r="W437" s="87" t="s">
        <v>73</v>
      </c>
      <c r="X437" s="87"/>
      <c r="Y437" s="87"/>
      <c r="Z437" s="87"/>
      <c r="AA437" s="87"/>
      <c r="AB437" s="87"/>
      <c r="AC437" s="90" t="str">
        <f t="shared" si="44"/>
        <v>Distrital</v>
      </c>
      <c r="AD437" s="87" t="s">
        <v>73</v>
      </c>
      <c r="AE437" s="87"/>
      <c r="AF437" s="87"/>
      <c r="AG437" s="87"/>
      <c r="AH437" s="87"/>
      <c r="AI437" s="87"/>
      <c r="AJ437" s="87"/>
      <c r="AK437" s="87"/>
      <c r="AL437" s="87"/>
      <c r="AM437" s="87"/>
      <c r="AN437" s="90" t="s">
        <v>160</v>
      </c>
      <c r="AO437" s="90" t="s">
        <v>2086</v>
      </c>
      <c r="AP437" s="82"/>
      <c r="AQ437" s="87" t="s">
        <v>60</v>
      </c>
      <c r="AR437" s="87" t="s">
        <v>77</v>
      </c>
      <c r="AS437" s="82"/>
      <c r="AT437" s="87">
        <v>2</v>
      </c>
      <c r="AU437" s="87">
        <v>2</v>
      </c>
      <c r="AV437" s="87">
        <f t="shared" si="40"/>
        <v>4</v>
      </c>
      <c r="AW437" s="87" t="str">
        <f t="shared" si="45"/>
        <v>No Aplica</v>
      </c>
      <c r="AX437" s="87" t="s">
        <v>78</v>
      </c>
      <c r="AY437" s="87"/>
      <c r="AZ437" s="87"/>
      <c r="BA437" s="91" t="s">
        <v>2087</v>
      </c>
      <c r="BB437" s="84"/>
      <c r="BC437" s="85"/>
      <c r="BD437" s="85"/>
    </row>
    <row r="438" spans="1:56" s="86" customFormat="1" ht="46.5" customHeight="1">
      <c r="A438" s="78">
        <v>433</v>
      </c>
      <c r="B438" s="79" t="s">
        <v>2088</v>
      </c>
      <c r="C438" s="88">
        <v>45427</v>
      </c>
      <c r="D438" s="89">
        <v>0.375</v>
      </c>
      <c r="E438" s="87" t="s">
        <v>58</v>
      </c>
      <c r="F438" s="87" t="s">
        <v>61</v>
      </c>
      <c r="G438" s="87" t="s">
        <v>62</v>
      </c>
      <c r="H438" s="90" t="s">
        <v>1737</v>
      </c>
      <c r="I438" s="90" t="s">
        <v>172</v>
      </c>
      <c r="J438" s="87" t="s">
        <v>70</v>
      </c>
      <c r="K438" s="87" t="s">
        <v>300</v>
      </c>
      <c r="L438" s="90" t="s">
        <v>2089</v>
      </c>
      <c r="M438" s="91" t="s">
        <v>72</v>
      </c>
      <c r="N438" s="90" t="s">
        <v>72</v>
      </c>
      <c r="O438" s="90" t="str">
        <f t="shared" si="42"/>
        <v>Distrital</v>
      </c>
      <c r="P438" s="87" t="s">
        <v>73</v>
      </c>
      <c r="Q438" s="87"/>
      <c r="R438" s="87"/>
      <c r="S438" s="87"/>
      <c r="T438" s="87"/>
      <c r="U438" s="87"/>
      <c r="V438" s="90" t="str">
        <f t="shared" si="43"/>
        <v>Distrital</v>
      </c>
      <c r="W438" s="87" t="s">
        <v>73</v>
      </c>
      <c r="X438" s="87"/>
      <c r="Y438" s="87"/>
      <c r="Z438" s="87"/>
      <c r="AA438" s="87"/>
      <c r="AB438" s="87"/>
      <c r="AC438" s="90" t="str">
        <f t="shared" si="44"/>
        <v>Distrital</v>
      </c>
      <c r="AD438" s="87" t="s">
        <v>73</v>
      </c>
      <c r="AE438" s="87"/>
      <c r="AF438" s="87"/>
      <c r="AG438" s="87"/>
      <c r="AH438" s="87"/>
      <c r="AI438" s="87"/>
      <c r="AJ438" s="87"/>
      <c r="AK438" s="87"/>
      <c r="AL438" s="87"/>
      <c r="AM438" s="87"/>
      <c r="AN438" s="90" t="s">
        <v>1739</v>
      </c>
      <c r="AO438" s="90" t="s">
        <v>1740</v>
      </c>
      <c r="AP438" s="82"/>
      <c r="AQ438" s="87" t="s">
        <v>60</v>
      </c>
      <c r="AR438" s="87" t="s">
        <v>1741</v>
      </c>
      <c r="AS438" s="82"/>
      <c r="AT438" s="87">
        <v>0</v>
      </c>
      <c r="AU438" s="87">
        <v>3</v>
      </c>
      <c r="AV438" s="87">
        <f t="shared" si="40"/>
        <v>3</v>
      </c>
      <c r="AW438" s="87" t="str">
        <f t="shared" si="45"/>
        <v>Ninguna</v>
      </c>
      <c r="AX438" s="87" t="s">
        <v>75</v>
      </c>
      <c r="AY438" s="87"/>
      <c r="AZ438" s="87"/>
      <c r="BA438" s="91" t="s">
        <v>2090</v>
      </c>
      <c r="BB438" s="84"/>
      <c r="BC438" s="85"/>
      <c r="BD438" s="85"/>
    </row>
    <row r="439" spans="1:56" s="86" customFormat="1" ht="46.5" customHeight="1">
      <c r="A439" s="87">
        <v>434</v>
      </c>
      <c r="B439" s="79" t="s">
        <v>1903</v>
      </c>
      <c r="C439" s="88">
        <v>45427</v>
      </c>
      <c r="D439" s="89">
        <v>0.375</v>
      </c>
      <c r="E439" s="87" t="s">
        <v>58</v>
      </c>
      <c r="F439" s="87" t="s">
        <v>61</v>
      </c>
      <c r="G439" s="87" t="s">
        <v>62</v>
      </c>
      <c r="H439" s="90" t="s">
        <v>1904</v>
      </c>
      <c r="I439" s="90" t="s">
        <v>172</v>
      </c>
      <c r="J439" s="87" t="s">
        <v>70</v>
      </c>
      <c r="K439" s="87" t="s">
        <v>300</v>
      </c>
      <c r="L439" s="90" t="s">
        <v>72</v>
      </c>
      <c r="M439" s="91" t="s">
        <v>72</v>
      </c>
      <c r="N439" s="90" t="s">
        <v>72</v>
      </c>
      <c r="O439" s="90" t="str">
        <f t="shared" si="42"/>
        <v>Distrital</v>
      </c>
      <c r="P439" s="87" t="s">
        <v>73</v>
      </c>
      <c r="Q439" s="87"/>
      <c r="R439" s="87"/>
      <c r="S439" s="87"/>
      <c r="T439" s="87"/>
      <c r="U439" s="87"/>
      <c r="V439" s="90" t="str">
        <f t="shared" si="43"/>
        <v>Distrital</v>
      </c>
      <c r="W439" s="87" t="s">
        <v>73</v>
      </c>
      <c r="X439" s="87"/>
      <c r="Y439" s="87"/>
      <c r="Z439" s="87"/>
      <c r="AA439" s="87"/>
      <c r="AB439" s="87"/>
      <c r="AC439" s="90" t="str">
        <f t="shared" si="44"/>
        <v>Distrital</v>
      </c>
      <c r="AD439" s="87" t="s">
        <v>73</v>
      </c>
      <c r="AE439" s="87"/>
      <c r="AF439" s="87"/>
      <c r="AG439" s="87"/>
      <c r="AH439" s="87"/>
      <c r="AI439" s="87"/>
      <c r="AJ439" s="87"/>
      <c r="AK439" s="87"/>
      <c r="AL439" s="87"/>
      <c r="AM439" s="87"/>
      <c r="AN439" s="90" t="s">
        <v>1739</v>
      </c>
      <c r="AO439" s="90" t="s">
        <v>2091</v>
      </c>
      <c r="AP439" s="82"/>
      <c r="AQ439" s="87" t="s">
        <v>60</v>
      </c>
      <c r="AR439" s="87" t="s">
        <v>1741</v>
      </c>
      <c r="AS439" s="82"/>
      <c r="AT439" s="87">
        <v>200</v>
      </c>
      <c r="AU439" s="87">
        <v>7</v>
      </c>
      <c r="AV439" s="87">
        <f t="shared" si="40"/>
        <v>207</v>
      </c>
      <c r="AW439" s="87" t="str">
        <f t="shared" si="45"/>
        <v>No Aplica</v>
      </c>
      <c r="AX439" s="87" t="s">
        <v>78</v>
      </c>
      <c r="AY439" s="87"/>
      <c r="AZ439" s="87"/>
      <c r="BA439" s="91" t="s">
        <v>2092</v>
      </c>
      <c r="BB439" s="84"/>
      <c r="BC439" s="85"/>
      <c r="BD439" s="85"/>
    </row>
    <row r="440" spans="1:56" s="86" customFormat="1" ht="46.5" customHeight="1">
      <c r="A440" s="78">
        <v>435</v>
      </c>
      <c r="B440" s="79" t="s">
        <v>1561</v>
      </c>
      <c r="C440" s="88">
        <v>45427</v>
      </c>
      <c r="D440" s="89">
        <v>0.58333333333333337</v>
      </c>
      <c r="E440" s="87" t="s">
        <v>93</v>
      </c>
      <c r="F440" s="87" t="s">
        <v>321</v>
      </c>
      <c r="G440" s="87" t="s">
        <v>62</v>
      </c>
      <c r="H440" s="90" t="s">
        <v>1562</v>
      </c>
      <c r="I440" s="90" t="s">
        <v>64</v>
      </c>
      <c r="J440" s="87" t="s">
        <v>70</v>
      </c>
      <c r="K440" s="87" t="s">
        <v>1810</v>
      </c>
      <c r="L440" s="90" t="s">
        <v>1563</v>
      </c>
      <c r="M440" s="91">
        <v>3228582649</v>
      </c>
      <c r="N440" s="90" t="s">
        <v>72</v>
      </c>
      <c r="O440" s="90" t="str">
        <f t="shared" si="42"/>
        <v>Kennedy</v>
      </c>
      <c r="P440" s="87" t="s">
        <v>473</v>
      </c>
      <c r="Q440" s="87"/>
      <c r="R440" s="87"/>
      <c r="S440" s="87"/>
      <c r="T440" s="87"/>
      <c r="U440" s="87"/>
      <c r="V440" s="90" t="str">
        <f t="shared" si="43"/>
        <v>Suroccidente</v>
      </c>
      <c r="W440" s="87" t="s">
        <v>474</v>
      </c>
      <c r="X440" s="87"/>
      <c r="Y440" s="87"/>
      <c r="Z440" s="87"/>
      <c r="AA440" s="87"/>
      <c r="AB440" s="87"/>
      <c r="AC440" s="90" t="str">
        <f t="shared" si="44"/>
        <v>Kennedy, Tintal, Patio Bonito, Edén, Porvenir, Bosa</v>
      </c>
      <c r="AD440" s="87" t="s">
        <v>473</v>
      </c>
      <c r="AE440" s="87" t="s">
        <v>1134</v>
      </c>
      <c r="AF440" s="87" t="s">
        <v>639</v>
      </c>
      <c r="AG440" s="87" t="s">
        <v>704</v>
      </c>
      <c r="AH440" s="87" t="s">
        <v>705</v>
      </c>
      <c r="AI440" s="87" t="s">
        <v>472</v>
      </c>
      <c r="AJ440" s="87"/>
      <c r="AK440" s="87"/>
      <c r="AL440" s="87"/>
      <c r="AM440" s="87"/>
      <c r="AN440" s="90" t="s">
        <v>473</v>
      </c>
      <c r="AO440" s="90" t="s">
        <v>1564</v>
      </c>
      <c r="AP440" s="82"/>
      <c r="AQ440" s="87" t="s">
        <v>59</v>
      </c>
      <c r="AR440" s="87" t="s">
        <v>80</v>
      </c>
      <c r="AS440" s="82"/>
      <c r="AT440" s="87">
        <v>14</v>
      </c>
      <c r="AU440" s="87">
        <v>1</v>
      </c>
      <c r="AV440" s="87">
        <f t="shared" si="40"/>
        <v>15</v>
      </c>
      <c r="AW440" s="87" t="str">
        <f t="shared" si="45"/>
        <v>No Aplica</v>
      </c>
      <c r="AX440" s="87" t="s">
        <v>78</v>
      </c>
      <c r="AY440" s="87"/>
      <c r="AZ440" s="87"/>
      <c r="BA440" s="91" t="s">
        <v>2093</v>
      </c>
      <c r="BB440" s="84"/>
      <c r="BC440" s="85"/>
      <c r="BD440" s="85"/>
    </row>
    <row r="441" spans="1:56" s="86" customFormat="1" ht="46.5" customHeight="1">
      <c r="A441" s="87">
        <v>436</v>
      </c>
      <c r="B441" s="79" t="s">
        <v>2094</v>
      </c>
      <c r="C441" s="88">
        <v>45427</v>
      </c>
      <c r="D441" s="89">
        <v>0.58333333333333337</v>
      </c>
      <c r="E441" s="87" t="s">
        <v>58</v>
      </c>
      <c r="F441" s="87" t="s">
        <v>135</v>
      </c>
      <c r="G441" s="87" t="s">
        <v>62</v>
      </c>
      <c r="H441" s="90" t="s">
        <v>2095</v>
      </c>
      <c r="I441" s="90" t="s">
        <v>64</v>
      </c>
      <c r="J441" s="87" t="s">
        <v>70</v>
      </c>
      <c r="K441" s="87"/>
      <c r="L441" s="90" t="s">
        <v>2096</v>
      </c>
      <c r="M441" s="91" t="s">
        <v>2097</v>
      </c>
      <c r="N441" s="90" t="s">
        <v>2098</v>
      </c>
      <c r="O441" s="90" t="str">
        <f t="shared" si="42"/>
        <v>Distrital</v>
      </c>
      <c r="P441" s="87" t="s">
        <v>73</v>
      </c>
      <c r="Q441" s="87"/>
      <c r="R441" s="87"/>
      <c r="S441" s="87"/>
      <c r="T441" s="87"/>
      <c r="U441" s="87"/>
      <c r="V441" s="90" t="str">
        <f t="shared" si="43"/>
        <v>Distrital</v>
      </c>
      <c r="W441" s="87" t="s">
        <v>73</v>
      </c>
      <c r="X441" s="87"/>
      <c r="Y441" s="87"/>
      <c r="Z441" s="87"/>
      <c r="AA441" s="87"/>
      <c r="AB441" s="87"/>
      <c r="AC441" s="90" t="str">
        <f t="shared" si="44"/>
        <v>Distrital</v>
      </c>
      <c r="AD441" s="87" t="s">
        <v>73</v>
      </c>
      <c r="AE441" s="87"/>
      <c r="AF441" s="87"/>
      <c r="AG441" s="87"/>
      <c r="AH441" s="87"/>
      <c r="AI441" s="87"/>
      <c r="AJ441" s="87"/>
      <c r="AK441" s="87"/>
      <c r="AL441" s="87"/>
      <c r="AM441" s="87"/>
      <c r="AN441" s="90" t="s">
        <v>2099</v>
      </c>
      <c r="AO441" s="90" t="s">
        <v>2100</v>
      </c>
      <c r="AP441" s="82"/>
      <c r="AQ441" s="87" t="s">
        <v>59</v>
      </c>
      <c r="AR441" s="87" t="s">
        <v>80</v>
      </c>
      <c r="AS441" s="82"/>
      <c r="AT441" s="87">
        <v>0</v>
      </c>
      <c r="AU441" s="87">
        <v>5</v>
      </c>
      <c r="AV441" s="87">
        <f t="shared" si="40"/>
        <v>5</v>
      </c>
      <c r="AW441" s="87" t="str">
        <f t="shared" si="45"/>
        <v>No Aplica</v>
      </c>
      <c r="AX441" s="87" t="s">
        <v>78</v>
      </c>
      <c r="AY441" s="87"/>
      <c r="AZ441" s="87"/>
      <c r="BA441" s="91" t="s">
        <v>2101</v>
      </c>
      <c r="BB441" s="84"/>
      <c r="BC441" s="85"/>
      <c r="BD441" s="85"/>
    </row>
    <row r="442" spans="1:56" s="86" customFormat="1" ht="46.5" customHeight="1">
      <c r="A442" s="78">
        <v>437</v>
      </c>
      <c r="B442" s="79" t="s">
        <v>2102</v>
      </c>
      <c r="C442" s="88">
        <v>45427</v>
      </c>
      <c r="D442" s="89">
        <v>0.58333333333333337</v>
      </c>
      <c r="E442" s="87" t="s">
        <v>58</v>
      </c>
      <c r="F442" s="87" t="s">
        <v>135</v>
      </c>
      <c r="G442" s="87" t="s">
        <v>95</v>
      </c>
      <c r="H442" s="90" t="s">
        <v>2103</v>
      </c>
      <c r="I442" s="90" t="s">
        <v>64</v>
      </c>
      <c r="J442" s="87" t="s">
        <v>70</v>
      </c>
      <c r="K442" s="87"/>
      <c r="L442" s="90" t="s">
        <v>2104</v>
      </c>
      <c r="M442" s="91" t="s">
        <v>2105</v>
      </c>
      <c r="N442" s="90" t="s">
        <v>2106</v>
      </c>
      <c r="O442" s="90" t="str">
        <f t="shared" si="42"/>
        <v>Distrital</v>
      </c>
      <c r="P442" s="87" t="s">
        <v>73</v>
      </c>
      <c r="Q442" s="87"/>
      <c r="R442" s="87"/>
      <c r="S442" s="87"/>
      <c r="T442" s="87"/>
      <c r="U442" s="87"/>
      <c r="V442" s="90" t="str">
        <f t="shared" si="43"/>
        <v>Distrital</v>
      </c>
      <c r="W442" s="87" t="s">
        <v>73</v>
      </c>
      <c r="X442" s="87"/>
      <c r="Y442" s="87"/>
      <c r="Z442" s="87"/>
      <c r="AA442" s="87"/>
      <c r="AB442" s="87"/>
      <c r="AC442" s="90" t="str">
        <f t="shared" si="44"/>
        <v>Distrital</v>
      </c>
      <c r="AD442" s="87" t="s">
        <v>73</v>
      </c>
      <c r="AE442" s="87"/>
      <c r="AF442" s="87"/>
      <c r="AG442" s="87"/>
      <c r="AH442" s="87"/>
      <c r="AI442" s="87"/>
      <c r="AJ442" s="87"/>
      <c r="AK442" s="87"/>
      <c r="AL442" s="87"/>
      <c r="AM442" s="87"/>
      <c r="AN442" s="90" t="s">
        <v>160</v>
      </c>
      <c r="AO442" s="92" t="s">
        <v>2107</v>
      </c>
      <c r="AP442" s="82"/>
      <c r="AQ442" s="87" t="s">
        <v>59</v>
      </c>
      <c r="AR442" s="87" t="s">
        <v>80</v>
      </c>
      <c r="AS442" s="82"/>
      <c r="AT442" s="87">
        <v>0</v>
      </c>
      <c r="AU442" s="87">
        <v>11</v>
      </c>
      <c r="AV442" s="87">
        <f t="shared" si="40"/>
        <v>11</v>
      </c>
      <c r="AW442" s="87" t="str">
        <f t="shared" si="45"/>
        <v>No Aplica</v>
      </c>
      <c r="AX442" s="87" t="s">
        <v>78</v>
      </c>
      <c r="AY442" s="87"/>
      <c r="AZ442" s="87"/>
      <c r="BA442" s="91" t="s">
        <v>2108</v>
      </c>
      <c r="BB442" s="84"/>
      <c r="BC442" s="85"/>
      <c r="BD442" s="85"/>
    </row>
    <row r="443" spans="1:56" s="86" customFormat="1" ht="46.5" customHeight="1">
      <c r="A443" s="87">
        <v>438</v>
      </c>
      <c r="B443" s="79" t="s">
        <v>1792</v>
      </c>
      <c r="C443" s="88">
        <v>45427</v>
      </c>
      <c r="D443" s="89">
        <v>0.70833333333333337</v>
      </c>
      <c r="E443" s="87" t="s">
        <v>93</v>
      </c>
      <c r="F443" s="87" t="s">
        <v>102</v>
      </c>
      <c r="G443" s="87" t="s">
        <v>95</v>
      </c>
      <c r="H443" s="90" t="s">
        <v>2109</v>
      </c>
      <c r="I443" s="90" t="s">
        <v>118</v>
      </c>
      <c r="J443" s="87" t="s">
        <v>119</v>
      </c>
      <c r="K443" s="87" t="s">
        <v>129</v>
      </c>
      <c r="L443" s="90" t="s">
        <v>2110</v>
      </c>
      <c r="M443" s="91">
        <v>3013090210</v>
      </c>
      <c r="N443" s="90" t="s">
        <v>692</v>
      </c>
      <c r="O443" s="90" t="str">
        <f t="shared" si="42"/>
        <v>Distrital</v>
      </c>
      <c r="P443" s="87" t="s">
        <v>73</v>
      </c>
      <c r="Q443" s="87"/>
      <c r="R443" s="87"/>
      <c r="S443" s="87"/>
      <c r="T443" s="87"/>
      <c r="U443" s="87"/>
      <c r="V443" s="90" t="str">
        <f t="shared" si="43"/>
        <v>Distrital</v>
      </c>
      <c r="W443" s="87" t="s">
        <v>73</v>
      </c>
      <c r="X443" s="87"/>
      <c r="Y443" s="87"/>
      <c r="Z443" s="87"/>
      <c r="AA443" s="87"/>
      <c r="AB443" s="87"/>
      <c r="AC443" s="90" t="str">
        <f t="shared" si="44"/>
        <v>Distrital</v>
      </c>
      <c r="AD443" s="87" t="s">
        <v>73</v>
      </c>
      <c r="AE443" s="87"/>
      <c r="AF443" s="87"/>
      <c r="AG443" s="87"/>
      <c r="AH443" s="87"/>
      <c r="AI443" s="87"/>
      <c r="AJ443" s="87"/>
      <c r="AK443" s="87"/>
      <c r="AL443" s="87"/>
      <c r="AM443" s="87"/>
      <c r="AN443" s="90" t="s">
        <v>160</v>
      </c>
      <c r="AO443" s="90" t="s">
        <v>2111</v>
      </c>
      <c r="AP443" s="82"/>
      <c r="AQ443" s="87" t="s">
        <v>59</v>
      </c>
      <c r="AR443" s="87" t="s">
        <v>80</v>
      </c>
      <c r="AS443" s="82"/>
      <c r="AT443" s="87">
        <v>10</v>
      </c>
      <c r="AU443" s="87">
        <v>1</v>
      </c>
      <c r="AV443" s="87">
        <f>AT443+AU443</f>
        <v>11</v>
      </c>
      <c r="AW443" s="87" t="str">
        <f t="shared" si="45"/>
        <v>No Aplica</v>
      </c>
      <c r="AX443" s="87" t="s">
        <v>78</v>
      </c>
      <c r="AY443" s="87"/>
      <c r="AZ443" s="87"/>
      <c r="BA443" s="91" t="s">
        <v>2112</v>
      </c>
      <c r="BB443" s="84"/>
      <c r="BC443" s="85"/>
      <c r="BD443" s="85"/>
    </row>
    <row r="444" spans="1:56" s="86" customFormat="1" ht="46.5" customHeight="1">
      <c r="A444" s="78">
        <v>439</v>
      </c>
      <c r="B444" s="79" t="s">
        <v>2113</v>
      </c>
      <c r="C444" s="88">
        <v>45427</v>
      </c>
      <c r="D444" s="89">
        <v>0.72916666666666663</v>
      </c>
      <c r="E444" s="87" t="s">
        <v>58</v>
      </c>
      <c r="F444" s="87" t="s">
        <v>135</v>
      </c>
      <c r="G444" s="87" t="s">
        <v>95</v>
      </c>
      <c r="H444" s="90" t="s">
        <v>2114</v>
      </c>
      <c r="I444" s="90" t="s">
        <v>188</v>
      </c>
      <c r="J444" s="87" t="s">
        <v>70</v>
      </c>
      <c r="K444" s="87" t="s">
        <v>71</v>
      </c>
      <c r="L444" s="90" t="s">
        <v>72</v>
      </c>
      <c r="M444" s="91" t="s">
        <v>72</v>
      </c>
      <c r="N444" s="90" t="s">
        <v>72</v>
      </c>
      <c r="O444" s="90" t="str">
        <f t="shared" si="42"/>
        <v>Distrital</v>
      </c>
      <c r="P444" s="87" t="s">
        <v>73</v>
      </c>
      <c r="Q444" s="87"/>
      <c r="R444" s="87"/>
      <c r="S444" s="87"/>
      <c r="T444" s="87"/>
      <c r="U444" s="87"/>
      <c r="V444" s="90" t="str">
        <f t="shared" si="43"/>
        <v>Distrital</v>
      </c>
      <c r="W444" s="87" t="s">
        <v>73</v>
      </c>
      <c r="X444" s="87"/>
      <c r="Y444" s="87"/>
      <c r="Z444" s="87"/>
      <c r="AA444" s="87"/>
      <c r="AB444" s="87"/>
      <c r="AC444" s="90" t="str">
        <f t="shared" si="44"/>
        <v>Distrital</v>
      </c>
      <c r="AD444" s="87" t="s">
        <v>73</v>
      </c>
      <c r="AE444" s="87"/>
      <c r="AF444" s="87"/>
      <c r="AG444" s="87"/>
      <c r="AH444" s="87"/>
      <c r="AI444" s="87"/>
      <c r="AJ444" s="87"/>
      <c r="AK444" s="87"/>
      <c r="AL444" s="87"/>
      <c r="AM444" s="87"/>
      <c r="AN444" s="90" t="s">
        <v>2099</v>
      </c>
      <c r="AO444" s="92" t="s">
        <v>2115</v>
      </c>
      <c r="AP444" s="82"/>
      <c r="AQ444" s="87" t="s">
        <v>59</v>
      </c>
      <c r="AR444" s="87" t="s">
        <v>80</v>
      </c>
      <c r="AS444" s="82"/>
      <c r="AT444" s="87">
        <v>0</v>
      </c>
      <c r="AU444" s="87">
        <v>23</v>
      </c>
      <c r="AV444" s="87">
        <f t="shared" ref="AV444:AV1142" si="46">AT444+AU444</f>
        <v>23</v>
      </c>
      <c r="AW444" s="87" t="str">
        <f t="shared" si="45"/>
        <v>No Aplica</v>
      </c>
      <c r="AX444" s="87" t="s">
        <v>78</v>
      </c>
      <c r="AY444" s="87"/>
      <c r="AZ444" s="87"/>
      <c r="BA444" s="91" t="s">
        <v>2116</v>
      </c>
      <c r="BB444" s="84"/>
      <c r="BC444" s="85"/>
      <c r="BD444" s="85"/>
    </row>
    <row r="445" spans="1:56" s="86" customFormat="1" ht="46.5" customHeight="1">
      <c r="A445" s="87">
        <v>440</v>
      </c>
      <c r="B445" s="79" t="s">
        <v>2117</v>
      </c>
      <c r="C445" s="88">
        <v>45428</v>
      </c>
      <c r="D445" s="89">
        <v>0.33333333333333331</v>
      </c>
      <c r="E445" s="87" t="s">
        <v>58</v>
      </c>
      <c r="F445" s="87" t="s">
        <v>61</v>
      </c>
      <c r="G445" s="87" t="s">
        <v>62</v>
      </c>
      <c r="H445" s="90" t="s">
        <v>1737</v>
      </c>
      <c r="I445" s="90" t="s">
        <v>172</v>
      </c>
      <c r="J445" s="87" t="s">
        <v>70</v>
      </c>
      <c r="K445" s="87" t="s">
        <v>300</v>
      </c>
      <c r="L445" s="90" t="s">
        <v>2089</v>
      </c>
      <c r="M445" s="91" t="s">
        <v>72</v>
      </c>
      <c r="N445" s="90" t="s">
        <v>72</v>
      </c>
      <c r="O445" s="90" t="str">
        <f t="shared" si="42"/>
        <v>Distrital</v>
      </c>
      <c r="P445" s="87" t="s">
        <v>73</v>
      </c>
      <c r="Q445" s="87"/>
      <c r="R445" s="87"/>
      <c r="S445" s="87"/>
      <c r="T445" s="87"/>
      <c r="U445" s="87"/>
      <c r="V445" s="90" t="str">
        <f t="shared" si="43"/>
        <v>Distrital</v>
      </c>
      <c r="W445" s="87" t="s">
        <v>73</v>
      </c>
      <c r="X445" s="87"/>
      <c r="Y445" s="87"/>
      <c r="Z445" s="87"/>
      <c r="AA445" s="87"/>
      <c r="AB445" s="87"/>
      <c r="AC445" s="90" t="str">
        <f t="shared" si="44"/>
        <v>Distrital</v>
      </c>
      <c r="AD445" s="87" t="s">
        <v>73</v>
      </c>
      <c r="AE445" s="87"/>
      <c r="AF445" s="87"/>
      <c r="AG445" s="87"/>
      <c r="AH445" s="87"/>
      <c r="AI445" s="87"/>
      <c r="AJ445" s="87"/>
      <c r="AK445" s="87"/>
      <c r="AL445" s="87"/>
      <c r="AM445" s="87"/>
      <c r="AN445" s="90" t="s">
        <v>1739</v>
      </c>
      <c r="AO445" s="90" t="s">
        <v>1740</v>
      </c>
      <c r="AP445" s="82"/>
      <c r="AQ445" s="87" t="s">
        <v>60</v>
      </c>
      <c r="AR445" s="87" t="s">
        <v>1741</v>
      </c>
      <c r="AS445" s="82"/>
      <c r="AT445" s="87">
        <v>6</v>
      </c>
      <c r="AU445" s="87">
        <v>4</v>
      </c>
      <c r="AV445" s="87">
        <f t="shared" si="46"/>
        <v>10</v>
      </c>
      <c r="AW445" s="87" t="str">
        <f t="shared" si="45"/>
        <v>Horarios Acordes</v>
      </c>
      <c r="AX445" s="87" t="s">
        <v>213</v>
      </c>
      <c r="AY445" s="87"/>
      <c r="AZ445" s="87"/>
      <c r="BA445" s="91" t="s">
        <v>2090</v>
      </c>
      <c r="BB445" s="84"/>
      <c r="BC445" s="85"/>
      <c r="BD445" s="85"/>
    </row>
    <row r="446" spans="1:56" s="86" customFormat="1" ht="46.5" customHeight="1">
      <c r="A446" s="78">
        <v>441</v>
      </c>
      <c r="B446" s="79" t="s">
        <v>2113</v>
      </c>
      <c r="C446" s="88">
        <v>45428</v>
      </c>
      <c r="D446" s="89">
        <v>0.33333333333333331</v>
      </c>
      <c r="E446" s="87" t="s">
        <v>58</v>
      </c>
      <c r="F446" s="87" t="s">
        <v>135</v>
      </c>
      <c r="G446" s="87" t="s">
        <v>95</v>
      </c>
      <c r="H446" s="90" t="s">
        <v>2114</v>
      </c>
      <c r="I446" s="90" t="s">
        <v>188</v>
      </c>
      <c r="J446" s="87" t="s">
        <v>70</v>
      </c>
      <c r="K446" s="87" t="s">
        <v>71</v>
      </c>
      <c r="L446" s="90" t="s">
        <v>72</v>
      </c>
      <c r="M446" s="91" t="s">
        <v>72</v>
      </c>
      <c r="N446" s="90" t="s">
        <v>72</v>
      </c>
      <c r="O446" s="90" t="str">
        <f t="shared" si="42"/>
        <v>Distrital</v>
      </c>
      <c r="P446" s="87" t="s">
        <v>73</v>
      </c>
      <c r="Q446" s="87"/>
      <c r="R446" s="87"/>
      <c r="S446" s="87"/>
      <c r="T446" s="87"/>
      <c r="U446" s="87"/>
      <c r="V446" s="90" t="str">
        <f t="shared" si="43"/>
        <v>Distrital</v>
      </c>
      <c r="W446" s="87" t="s">
        <v>73</v>
      </c>
      <c r="X446" s="87"/>
      <c r="Y446" s="87"/>
      <c r="Z446" s="87"/>
      <c r="AA446" s="87"/>
      <c r="AB446" s="87"/>
      <c r="AC446" s="90" t="str">
        <f t="shared" si="44"/>
        <v/>
      </c>
      <c r="AD446" s="87"/>
      <c r="AE446" s="87"/>
      <c r="AF446" s="87"/>
      <c r="AG446" s="87"/>
      <c r="AH446" s="87"/>
      <c r="AI446" s="87"/>
      <c r="AJ446" s="87"/>
      <c r="AK446" s="87"/>
      <c r="AL446" s="87"/>
      <c r="AM446" s="87"/>
      <c r="AN446" s="90" t="s">
        <v>2099</v>
      </c>
      <c r="AO446" s="92" t="s">
        <v>2115</v>
      </c>
      <c r="AP446" s="82"/>
      <c r="AQ446" s="87" t="s">
        <v>59</v>
      </c>
      <c r="AR446" s="87" t="s">
        <v>80</v>
      </c>
      <c r="AS446" s="82"/>
      <c r="AT446" s="87">
        <v>0</v>
      </c>
      <c r="AU446" s="87">
        <v>15</v>
      </c>
      <c r="AV446" s="87">
        <f t="shared" si="46"/>
        <v>15</v>
      </c>
      <c r="AW446" s="87" t="str">
        <f t="shared" si="45"/>
        <v>No Aplica</v>
      </c>
      <c r="AX446" s="87" t="s">
        <v>78</v>
      </c>
      <c r="AY446" s="87"/>
      <c r="AZ446" s="87"/>
      <c r="BA446" s="91" t="s">
        <v>2118</v>
      </c>
      <c r="BB446" s="84"/>
      <c r="BC446" s="85"/>
      <c r="BD446" s="85"/>
    </row>
    <row r="447" spans="1:56" s="86" customFormat="1" ht="46.5" customHeight="1">
      <c r="A447" s="87">
        <v>442</v>
      </c>
      <c r="B447" s="79" t="s">
        <v>2119</v>
      </c>
      <c r="C447" s="88">
        <v>45428</v>
      </c>
      <c r="D447" s="89">
        <v>0.375</v>
      </c>
      <c r="E447" s="87" t="s">
        <v>58</v>
      </c>
      <c r="F447" s="87" t="s">
        <v>61</v>
      </c>
      <c r="G447" s="87" t="s">
        <v>62</v>
      </c>
      <c r="H447" s="90" t="s">
        <v>1737</v>
      </c>
      <c r="I447" s="90" t="s">
        <v>172</v>
      </c>
      <c r="J447" s="87" t="s">
        <v>70</v>
      </c>
      <c r="K447" s="87" t="s">
        <v>300</v>
      </c>
      <c r="L447" s="90" t="s">
        <v>72</v>
      </c>
      <c r="M447" s="91" t="s">
        <v>72</v>
      </c>
      <c r="N447" s="90" t="s">
        <v>72</v>
      </c>
      <c r="O447" s="90" t="str">
        <f t="shared" si="42"/>
        <v>Distrital</v>
      </c>
      <c r="P447" s="87" t="s">
        <v>73</v>
      </c>
      <c r="Q447" s="87"/>
      <c r="R447" s="87"/>
      <c r="S447" s="87"/>
      <c r="T447" s="87"/>
      <c r="U447" s="87"/>
      <c r="V447" s="90" t="str">
        <f t="shared" si="43"/>
        <v>Distrital</v>
      </c>
      <c r="W447" s="87" t="s">
        <v>73</v>
      </c>
      <c r="X447" s="87"/>
      <c r="Y447" s="87"/>
      <c r="Z447" s="87"/>
      <c r="AA447" s="87"/>
      <c r="AB447" s="87"/>
      <c r="AC447" s="90" t="str">
        <f t="shared" si="44"/>
        <v>Distrital</v>
      </c>
      <c r="AD447" s="87" t="s">
        <v>73</v>
      </c>
      <c r="AE447" s="87"/>
      <c r="AF447" s="87"/>
      <c r="AG447" s="87"/>
      <c r="AH447" s="87"/>
      <c r="AI447" s="87"/>
      <c r="AJ447" s="87"/>
      <c r="AK447" s="87"/>
      <c r="AL447" s="87"/>
      <c r="AM447" s="87"/>
      <c r="AN447" s="90" t="s">
        <v>1739</v>
      </c>
      <c r="AO447" s="90" t="s">
        <v>1740</v>
      </c>
      <c r="AP447" s="82"/>
      <c r="AQ447" s="87" t="s">
        <v>60</v>
      </c>
      <c r="AR447" s="87" t="s">
        <v>1741</v>
      </c>
      <c r="AS447" s="82"/>
      <c r="AT447" s="87">
        <v>6</v>
      </c>
      <c r="AU447" s="87">
        <v>4</v>
      </c>
      <c r="AV447" s="87">
        <f t="shared" si="46"/>
        <v>10</v>
      </c>
      <c r="AW447" s="87" t="str">
        <f t="shared" si="45"/>
        <v>Ninguna</v>
      </c>
      <c r="AX447" s="87" t="s">
        <v>75</v>
      </c>
      <c r="AY447" s="87"/>
      <c r="AZ447" s="87"/>
      <c r="BA447" s="91" t="s">
        <v>2090</v>
      </c>
      <c r="BB447" s="84"/>
      <c r="BC447" s="85"/>
      <c r="BD447" s="85"/>
    </row>
    <row r="448" spans="1:56" s="86" customFormat="1" ht="46.5" customHeight="1">
      <c r="A448" s="78">
        <v>443</v>
      </c>
      <c r="B448" s="79" t="s">
        <v>2120</v>
      </c>
      <c r="C448" s="88">
        <v>45428</v>
      </c>
      <c r="D448" s="89">
        <v>0.45833333333333331</v>
      </c>
      <c r="E448" s="87" t="s">
        <v>58</v>
      </c>
      <c r="F448" s="87" t="s">
        <v>2121</v>
      </c>
      <c r="G448" s="87" t="s">
        <v>62</v>
      </c>
      <c r="H448" s="90" t="s">
        <v>2122</v>
      </c>
      <c r="I448" s="90" t="s">
        <v>188</v>
      </c>
      <c r="J448" s="87" t="s">
        <v>70</v>
      </c>
      <c r="K448" s="87"/>
      <c r="L448" s="90" t="s">
        <v>2123</v>
      </c>
      <c r="M448" s="91">
        <v>3508212744</v>
      </c>
      <c r="N448" s="90" t="s">
        <v>2098</v>
      </c>
      <c r="O448" s="90" t="str">
        <f t="shared" si="42"/>
        <v>Distrital</v>
      </c>
      <c r="P448" s="87" t="s">
        <v>73</v>
      </c>
      <c r="Q448" s="87"/>
      <c r="R448" s="87"/>
      <c r="S448" s="87"/>
      <c r="T448" s="87"/>
      <c r="U448" s="87"/>
      <c r="V448" s="90" t="str">
        <f t="shared" si="43"/>
        <v>Distrital</v>
      </c>
      <c r="W448" s="87" t="s">
        <v>73</v>
      </c>
      <c r="X448" s="87"/>
      <c r="Y448" s="87"/>
      <c r="Z448" s="87"/>
      <c r="AA448" s="87"/>
      <c r="AB448" s="87"/>
      <c r="AC448" s="90" t="str">
        <f t="shared" si="44"/>
        <v>Distrital</v>
      </c>
      <c r="AD448" s="87" t="s">
        <v>73</v>
      </c>
      <c r="AE448" s="87"/>
      <c r="AF448" s="87"/>
      <c r="AG448" s="87"/>
      <c r="AH448" s="87"/>
      <c r="AI448" s="87"/>
      <c r="AJ448" s="87"/>
      <c r="AK448" s="87"/>
      <c r="AL448" s="87"/>
      <c r="AM448" s="87"/>
      <c r="AN448" s="90" t="s">
        <v>2124</v>
      </c>
      <c r="AO448" s="90" t="s">
        <v>2125</v>
      </c>
      <c r="AP448" s="82"/>
      <c r="AQ448" s="87" t="s">
        <v>59</v>
      </c>
      <c r="AR448" s="87" t="s">
        <v>80</v>
      </c>
      <c r="AS448" s="82"/>
      <c r="AT448" s="87">
        <v>32</v>
      </c>
      <c r="AU448" s="87">
        <v>2</v>
      </c>
      <c r="AV448" s="87">
        <f t="shared" si="46"/>
        <v>34</v>
      </c>
      <c r="AW448" s="87" t="str">
        <f t="shared" si="45"/>
        <v>No Aplica</v>
      </c>
      <c r="AX448" s="87" t="s">
        <v>78</v>
      </c>
      <c r="AY448" s="87"/>
      <c r="AZ448" s="87"/>
      <c r="BA448" s="91" t="s">
        <v>2126</v>
      </c>
      <c r="BB448" s="84"/>
      <c r="BC448" s="85"/>
      <c r="BD448" s="85"/>
    </row>
    <row r="449" spans="1:56" s="86" customFormat="1" ht="46.5" customHeight="1">
      <c r="A449" s="87">
        <v>444</v>
      </c>
      <c r="B449" s="79" t="s">
        <v>2127</v>
      </c>
      <c r="C449" s="88">
        <v>45428</v>
      </c>
      <c r="D449" s="89">
        <v>0.58333333333333337</v>
      </c>
      <c r="E449" s="87" t="s">
        <v>93</v>
      </c>
      <c r="F449" s="87" t="s">
        <v>102</v>
      </c>
      <c r="G449" s="87" t="s">
        <v>95</v>
      </c>
      <c r="H449" s="90" t="s">
        <v>2128</v>
      </c>
      <c r="I449" s="90" t="s">
        <v>118</v>
      </c>
      <c r="J449" s="87" t="s">
        <v>119</v>
      </c>
      <c r="K449" s="87" t="s">
        <v>129</v>
      </c>
      <c r="L449" s="90" t="s">
        <v>881</v>
      </c>
      <c r="M449" s="91" t="s">
        <v>882</v>
      </c>
      <c r="N449" s="90" t="s">
        <v>883</v>
      </c>
      <c r="O449" s="90" t="str">
        <f t="shared" si="42"/>
        <v>Distrital</v>
      </c>
      <c r="P449" s="87" t="s">
        <v>73</v>
      </c>
      <c r="Q449" s="87"/>
      <c r="R449" s="87"/>
      <c r="S449" s="87"/>
      <c r="T449" s="87"/>
      <c r="U449" s="87"/>
      <c r="V449" s="90" t="str">
        <f t="shared" si="43"/>
        <v>Distrital</v>
      </c>
      <c r="W449" s="87" t="s">
        <v>73</v>
      </c>
      <c r="X449" s="87"/>
      <c r="Y449" s="87"/>
      <c r="Z449" s="87"/>
      <c r="AA449" s="87"/>
      <c r="AB449" s="87"/>
      <c r="AC449" s="90" t="str">
        <f t="shared" si="44"/>
        <v>Distrital</v>
      </c>
      <c r="AD449" s="87" t="s">
        <v>73</v>
      </c>
      <c r="AE449" s="87"/>
      <c r="AF449" s="87"/>
      <c r="AG449" s="87"/>
      <c r="AH449" s="87"/>
      <c r="AI449" s="87"/>
      <c r="AJ449" s="87"/>
      <c r="AK449" s="87"/>
      <c r="AL449" s="87"/>
      <c r="AM449" s="87"/>
      <c r="AN449" s="90" t="s">
        <v>160</v>
      </c>
      <c r="AO449" s="92" t="s">
        <v>2129</v>
      </c>
      <c r="AP449" s="82"/>
      <c r="AQ449" s="87" t="s">
        <v>59</v>
      </c>
      <c r="AR449" s="87" t="s">
        <v>80</v>
      </c>
      <c r="AS449" s="82"/>
      <c r="AT449" s="87">
        <v>9</v>
      </c>
      <c r="AU449" s="87">
        <v>1</v>
      </c>
      <c r="AV449" s="87">
        <f t="shared" si="46"/>
        <v>10</v>
      </c>
      <c r="AW449" s="87" t="str">
        <f t="shared" si="45"/>
        <v>No Aplica</v>
      </c>
      <c r="AX449" s="87" t="s">
        <v>78</v>
      </c>
      <c r="AY449" s="87"/>
      <c r="AZ449" s="87"/>
      <c r="BA449" s="91" t="s">
        <v>2130</v>
      </c>
      <c r="BB449" s="84"/>
      <c r="BC449" s="85"/>
      <c r="BD449" s="85"/>
    </row>
    <row r="450" spans="1:56" s="86" customFormat="1" ht="46.5" customHeight="1">
      <c r="A450" s="78">
        <v>445</v>
      </c>
      <c r="B450" s="79" t="s">
        <v>2131</v>
      </c>
      <c r="C450" s="88">
        <v>45428</v>
      </c>
      <c r="D450" s="89">
        <v>0.625</v>
      </c>
      <c r="E450" s="87" t="s">
        <v>58</v>
      </c>
      <c r="F450" s="87" t="s">
        <v>1205</v>
      </c>
      <c r="G450" s="87" t="s">
        <v>62</v>
      </c>
      <c r="H450" s="90" t="s">
        <v>2132</v>
      </c>
      <c r="I450" s="90" t="s">
        <v>118</v>
      </c>
      <c r="J450" s="87" t="s">
        <v>173</v>
      </c>
      <c r="K450" s="87"/>
      <c r="L450" s="90" t="s">
        <v>2133</v>
      </c>
      <c r="M450" s="91">
        <v>3007852431</v>
      </c>
      <c r="N450" s="90" t="s">
        <v>2134</v>
      </c>
      <c r="O450" s="90" t="str">
        <f t="shared" si="42"/>
        <v>Suba, Bosa</v>
      </c>
      <c r="P450" s="87" t="s">
        <v>394</v>
      </c>
      <c r="Q450" s="87" t="s">
        <v>472</v>
      </c>
      <c r="R450" s="87"/>
      <c r="S450" s="87"/>
      <c r="T450" s="87"/>
      <c r="U450" s="87"/>
      <c r="V450" s="90" t="str">
        <f t="shared" si="43"/>
        <v>Noroccidente, Norte, Suroccidente</v>
      </c>
      <c r="W450" s="87" t="s">
        <v>395</v>
      </c>
      <c r="X450" s="87" t="s">
        <v>429</v>
      </c>
      <c r="Y450" s="87" t="s">
        <v>474</v>
      </c>
      <c r="Z450" s="87"/>
      <c r="AA450" s="87"/>
      <c r="AB450" s="87"/>
      <c r="AC450" s="90" t="str">
        <f t="shared" si="44"/>
        <v>Suba, Suba Rincón, Tibabuyes, Niza, Torca, Bosa, Porvenir</v>
      </c>
      <c r="AD450" s="87" t="s">
        <v>394</v>
      </c>
      <c r="AE450" s="87" t="s">
        <v>396</v>
      </c>
      <c r="AF450" s="87" t="s">
        <v>924</v>
      </c>
      <c r="AG450" s="87" t="s">
        <v>571</v>
      </c>
      <c r="AH450" s="87" t="s">
        <v>528</v>
      </c>
      <c r="AI450" s="87" t="s">
        <v>472</v>
      </c>
      <c r="AJ450" s="87" t="s">
        <v>705</v>
      </c>
      <c r="AK450" s="87"/>
      <c r="AL450" s="87"/>
      <c r="AM450" s="87"/>
      <c r="AN450" s="90" t="s">
        <v>2135</v>
      </c>
      <c r="AO450" s="90" t="s">
        <v>2136</v>
      </c>
      <c r="AP450" s="82"/>
      <c r="AQ450" s="87" t="s">
        <v>59</v>
      </c>
      <c r="AR450" s="87" t="s">
        <v>80</v>
      </c>
      <c r="AS450" s="82"/>
      <c r="AT450" s="87">
        <v>14</v>
      </c>
      <c r="AU450" s="87">
        <v>7</v>
      </c>
      <c r="AV450" s="87">
        <f t="shared" si="46"/>
        <v>21</v>
      </c>
      <c r="AW450" s="87" t="str">
        <f t="shared" si="45"/>
        <v>No Aplica</v>
      </c>
      <c r="AX450" s="87" t="s">
        <v>78</v>
      </c>
      <c r="AY450" s="87"/>
      <c r="AZ450" s="87"/>
      <c r="BA450" s="91" t="s">
        <v>2137</v>
      </c>
      <c r="BB450" s="84"/>
      <c r="BC450" s="85"/>
      <c r="BD450" s="85"/>
    </row>
    <row r="451" spans="1:56" s="86" customFormat="1" ht="46.5" customHeight="1">
      <c r="A451" s="87">
        <v>446</v>
      </c>
      <c r="B451" s="79" t="s">
        <v>2138</v>
      </c>
      <c r="C451" s="88">
        <v>45428</v>
      </c>
      <c r="D451" s="89">
        <v>0.625</v>
      </c>
      <c r="E451" s="87" t="s">
        <v>58</v>
      </c>
      <c r="F451" s="87" t="s">
        <v>135</v>
      </c>
      <c r="G451" s="87" t="s">
        <v>95</v>
      </c>
      <c r="H451" s="90" t="s">
        <v>2139</v>
      </c>
      <c r="I451" s="90" t="s">
        <v>64</v>
      </c>
      <c r="J451" s="87" t="s">
        <v>70</v>
      </c>
      <c r="K451" s="87"/>
      <c r="L451" s="90" t="s">
        <v>2140</v>
      </c>
      <c r="M451" s="91" t="s">
        <v>2141</v>
      </c>
      <c r="N451" s="90" t="s">
        <v>2142</v>
      </c>
      <c r="O451" s="90" t="str">
        <f t="shared" si="42"/>
        <v>Distrital</v>
      </c>
      <c r="P451" s="87" t="s">
        <v>73</v>
      </c>
      <c r="Q451" s="87"/>
      <c r="R451" s="87"/>
      <c r="S451" s="87"/>
      <c r="T451" s="87"/>
      <c r="U451" s="87"/>
      <c r="V451" s="90" t="str">
        <f t="shared" si="43"/>
        <v>Distrital</v>
      </c>
      <c r="W451" s="87" t="s">
        <v>73</v>
      </c>
      <c r="X451" s="87"/>
      <c r="Y451" s="87"/>
      <c r="Z451" s="87"/>
      <c r="AA451" s="87"/>
      <c r="AB451" s="87"/>
      <c r="AC451" s="90" t="str">
        <f t="shared" si="44"/>
        <v>Distrital</v>
      </c>
      <c r="AD451" s="87" t="s">
        <v>73</v>
      </c>
      <c r="AE451" s="87"/>
      <c r="AF451" s="87"/>
      <c r="AG451" s="87"/>
      <c r="AH451" s="87"/>
      <c r="AI451" s="87"/>
      <c r="AJ451" s="87"/>
      <c r="AK451" s="87"/>
      <c r="AL451" s="87"/>
      <c r="AM451" s="87"/>
      <c r="AN451" s="90" t="s">
        <v>160</v>
      </c>
      <c r="AO451" s="92" t="s">
        <v>2143</v>
      </c>
      <c r="AP451" s="82"/>
      <c r="AQ451" s="87" t="s">
        <v>59</v>
      </c>
      <c r="AR451" s="87" t="s">
        <v>80</v>
      </c>
      <c r="AS451" s="82"/>
      <c r="AT451" s="87">
        <v>0</v>
      </c>
      <c r="AU451" s="87">
        <v>5</v>
      </c>
      <c r="AV451" s="87">
        <f t="shared" si="46"/>
        <v>5</v>
      </c>
      <c r="AW451" s="87" t="str">
        <f t="shared" si="45"/>
        <v>No Aplica</v>
      </c>
      <c r="AX451" s="87" t="s">
        <v>78</v>
      </c>
      <c r="AY451" s="87"/>
      <c r="AZ451" s="87"/>
      <c r="BA451" s="91" t="s">
        <v>2144</v>
      </c>
      <c r="BB451" s="84"/>
      <c r="BC451" s="85"/>
      <c r="BD451" s="85"/>
    </row>
    <row r="452" spans="1:56" s="86" customFormat="1" ht="46.5" customHeight="1">
      <c r="A452" s="78">
        <v>447</v>
      </c>
      <c r="B452" s="79" t="s">
        <v>2145</v>
      </c>
      <c r="C452" s="88">
        <v>45428</v>
      </c>
      <c r="D452" s="89">
        <v>0.70833333333333337</v>
      </c>
      <c r="E452" s="87" t="s">
        <v>93</v>
      </c>
      <c r="F452" s="87" t="s">
        <v>102</v>
      </c>
      <c r="G452" s="87" t="s">
        <v>95</v>
      </c>
      <c r="H452" s="90" t="s">
        <v>2146</v>
      </c>
      <c r="I452" s="90" t="s">
        <v>118</v>
      </c>
      <c r="J452" s="87" t="s">
        <v>119</v>
      </c>
      <c r="K452" s="87" t="s">
        <v>129</v>
      </c>
      <c r="L452" s="90" t="s">
        <v>1009</v>
      </c>
      <c r="M452" s="91">
        <v>3188799909</v>
      </c>
      <c r="N452" s="90" t="s">
        <v>1351</v>
      </c>
      <c r="O452" s="90" t="str">
        <f t="shared" si="42"/>
        <v>Distrital</v>
      </c>
      <c r="P452" s="87" t="s">
        <v>73</v>
      </c>
      <c r="Q452" s="87"/>
      <c r="R452" s="87"/>
      <c r="S452" s="87"/>
      <c r="T452" s="87"/>
      <c r="U452" s="87"/>
      <c r="V452" s="90" t="str">
        <f t="shared" si="43"/>
        <v>Distrital</v>
      </c>
      <c r="W452" s="87" t="s">
        <v>73</v>
      </c>
      <c r="X452" s="87"/>
      <c r="Y452" s="87"/>
      <c r="Z452" s="87"/>
      <c r="AA452" s="87"/>
      <c r="AB452" s="87"/>
      <c r="AC452" s="90" t="str">
        <f t="shared" si="44"/>
        <v>Distrital</v>
      </c>
      <c r="AD452" s="87" t="s">
        <v>73</v>
      </c>
      <c r="AE452" s="87"/>
      <c r="AF452" s="87"/>
      <c r="AG452" s="87"/>
      <c r="AH452" s="87"/>
      <c r="AI452" s="87"/>
      <c r="AJ452" s="87"/>
      <c r="AK452" s="87"/>
      <c r="AL452" s="87"/>
      <c r="AM452" s="87"/>
      <c r="AN452" s="90" t="s">
        <v>160</v>
      </c>
      <c r="AO452" s="92" t="s">
        <v>2147</v>
      </c>
      <c r="AP452" s="82"/>
      <c r="AQ452" s="87" t="s">
        <v>59</v>
      </c>
      <c r="AR452" s="87" t="s">
        <v>80</v>
      </c>
      <c r="AS452" s="82"/>
      <c r="AT452" s="87">
        <v>59</v>
      </c>
      <c r="AU452" s="87">
        <v>2</v>
      </c>
      <c r="AV452" s="87">
        <f t="shared" si="46"/>
        <v>61</v>
      </c>
      <c r="AW452" s="87" t="str">
        <f t="shared" si="45"/>
        <v>No Aplica</v>
      </c>
      <c r="AX452" s="87" t="s">
        <v>78</v>
      </c>
      <c r="AY452" s="87"/>
      <c r="AZ452" s="87"/>
      <c r="BA452" s="91" t="s">
        <v>2148</v>
      </c>
      <c r="BB452" s="84"/>
      <c r="BC452" s="85"/>
      <c r="BD452" s="85"/>
    </row>
    <row r="453" spans="1:56" s="86" customFormat="1" ht="46.5" customHeight="1">
      <c r="A453" s="87">
        <v>448</v>
      </c>
      <c r="B453" s="79" t="s">
        <v>2149</v>
      </c>
      <c r="C453" s="88">
        <v>45429</v>
      </c>
      <c r="D453" s="89">
        <v>0.375</v>
      </c>
      <c r="E453" s="87" t="s">
        <v>58</v>
      </c>
      <c r="F453" s="87" t="s">
        <v>116</v>
      </c>
      <c r="G453" s="87" t="s">
        <v>95</v>
      </c>
      <c r="H453" s="90" t="s">
        <v>2150</v>
      </c>
      <c r="I453" s="90" t="s">
        <v>118</v>
      </c>
      <c r="J453" s="87" t="s">
        <v>173</v>
      </c>
      <c r="K453" s="87"/>
      <c r="L453" s="90" t="s">
        <v>2151</v>
      </c>
      <c r="M453" s="91">
        <v>3194686812</v>
      </c>
      <c r="N453" s="90" t="s">
        <v>2152</v>
      </c>
      <c r="O453" s="90" t="str">
        <f t="shared" si="42"/>
        <v>Barrios Unidos</v>
      </c>
      <c r="P453" s="87" t="s">
        <v>686</v>
      </c>
      <c r="Q453" s="87"/>
      <c r="R453" s="87"/>
      <c r="S453" s="87"/>
      <c r="T453" s="87"/>
      <c r="U453" s="87"/>
      <c r="V453" s="90" t="str">
        <f t="shared" si="43"/>
        <v>Centro Ampliado</v>
      </c>
      <c r="W453" s="87" t="s">
        <v>415</v>
      </c>
      <c r="X453" s="87"/>
      <c r="Y453" s="87"/>
      <c r="Z453" s="87"/>
      <c r="AA453" s="87"/>
      <c r="AB453" s="87"/>
      <c r="AC453" s="90" t="str">
        <f t="shared" si="44"/>
        <v>Barrios Unidos</v>
      </c>
      <c r="AD453" s="87" t="s">
        <v>686</v>
      </c>
      <c r="AE453" s="87"/>
      <c r="AF453" s="87"/>
      <c r="AG453" s="87"/>
      <c r="AH453" s="87"/>
      <c r="AI453" s="87"/>
      <c r="AJ453" s="87"/>
      <c r="AK453" s="87"/>
      <c r="AL453" s="87"/>
      <c r="AM453" s="87"/>
      <c r="AN453" s="90" t="s">
        <v>160</v>
      </c>
      <c r="AO453" s="92" t="s">
        <v>2153</v>
      </c>
      <c r="AP453" s="82"/>
      <c r="AQ453" s="87" t="s">
        <v>59</v>
      </c>
      <c r="AR453" s="87" t="s">
        <v>80</v>
      </c>
      <c r="AS453" s="82"/>
      <c r="AT453" s="87">
        <v>14</v>
      </c>
      <c r="AU453" s="87">
        <v>1</v>
      </c>
      <c r="AV453" s="87">
        <f t="shared" si="46"/>
        <v>15</v>
      </c>
      <c r="AW453" s="87" t="str">
        <f t="shared" si="45"/>
        <v>No Aplica</v>
      </c>
      <c r="AX453" s="87" t="s">
        <v>78</v>
      </c>
      <c r="AY453" s="87"/>
      <c r="AZ453" s="87"/>
      <c r="BA453" s="91" t="s">
        <v>2154</v>
      </c>
      <c r="BB453" s="84"/>
      <c r="BC453" s="85"/>
      <c r="BD453" s="85"/>
    </row>
    <row r="454" spans="1:56" s="86" customFormat="1" ht="46.5" customHeight="1">
      <c r="A454" s="78">
        <v>449</v>
      </c>
      <c r="B454" s="79" t="s">
        <v>2155</v>
      </c>
      <c r="C454" s="88">
        <v>45429</v>
      </c>
      <c r="D454" s="89">
        <v>0.41666666666666669</v>
      </c>
      <c r="E454" s="87" t="s">
        <v>58</v>
      </c>
      <c r="F454" s="87" t="s">
        <v>135</v>
      </c>
      <c r="G454" s="87" t="s">
        <v>62</v>
      </c>
      <c r="H454" s="90" t="s">
        <v>2156</v>
      </c>
      <c r="I454" s="90" t="s">
        <v>64</v>
      </c>
      <c r="J454" s="87" t="s">
        <v>70</v>
      </c>
      <c r="K454" s="87"/>
      <c r="L454" s="90" t="s">
        <v>72</v>
      </c>
      <c r="M454" s="91" t="s">
        <v>72</v>
      </c>
      <c r="N454" s="90" t="s">
        <v>72</v>
      </c>
      <c r="O454" s="90" t="str">
        <f t="shared" si="42"/>
        <v>Distrital</v>
      </c>
      <c r="P454" s="87" t="s">
        <v>73</v>
      </c>
      <c r="Q454" s="87"/>
      <c r="R454" s="87"/>
      <c r="S454" s="87"/>
      <c r="T454" s="87"/>
      <c r="U454" s="87"/>
      <c r="V454" s="90" t="str">
        <f t="shared" si="43"/>
        <v>Distrital</v>
      </c>
      <c r="W454" s="87" t="s">
        <v>73</v>
      </c>
      <c r="X454" s="87"/>
      <c r="Y454" s="87"/>
      <c r="Z454" s="87"/>
      <c r="AA454" s="87"/>
      <c r="AB454" s="87"/>
      <c r="AC454" s="90" t="str">
        <f t="shared" si="44"/>
        <v>Distrital</v>
      </c>
      <c r="AD454" s="87" t="s">
        <v>73</v>
      </c>
      <c r="AE454" s="87"/>
      <c r="AF454" s="87"/>
      <c r="AG454" s="87"/>
      <c r="AH454" s="87"/>
      <c r="AI454" s="87"/>
      <c r="AJ454" s="87"/>
      <c r="AK454" s="87"/>
      <c r="AL454" s="87"/>
      <c r="AM454" s="87"/>
      <c r="AN454" s="90" t="s">
        <v>1739</v>
      </c>
      <c r="AO454" s="90" t="s">
        <v>1740</v>
      </c>
      <c r="AP454" s="82"/>
      <c r="AQ454" s="87" t="s">
        <v>59</v>
      </c>
      <c r="AR454" s="87" t="s">
        <v>80</v>
      </c>
      <c r="AS454" s="82"/>
      <c r="AT454" s="87">
        <v>0</v>
      </c>
      <c r="AU454" s="87">
        <v>10</v>
      </c>
      <c r="AV454" s="87">
        <f t="shared" si="46"/>
        <v>10</v>
      </c>
      <c r="AW454" s="87" t="str">
        <f t="shared" si="45"/>
        <v>No Aplica</v>
      </c>
      <c r="AX454" s="87" t="s">
        <v>78</v>
      </c>
      <c r="AY454" s="87"/>
      <c r="AZ454" s="87"/>
      <c r="BA454" s="91" t="s">
        <v>2157</v>
      </c>
      <c r="BB454" s="84"/>
      <c r="BC454" s="85"/>
      <c r="BD454" s="85"/>
    </row>
    <row r="455" spans="1:56" s="86" customFormat="1" ht="46.5" customHeight="1">
      <c r="A455" s="87">
        <v>450</v>
      </c>
      <c r="B455" s="79" t="s">
        <v>2158</v>
      </c>
      <c r="C455" s="88">
        <v>45429</v>
      </c>
      <c r="D455" s="89">
        <v>0.58333333333333337</v>
      </c>
      <c r="E455" s="87" t="s">
        <v>58</v>
      </c>
      <c r="F455" s="87" t="s">
        <v>2121</v>
      </c>
      <c r="G455" s="87" t="s">
        <v>62</v>
      </c>
      <c r="H455" s="90" t="s">
        <v>2159</v>
      </c>
      <c r="I455" s="90" t="s">
        <v>64</v>
      </c>
      <c r="J455" s="87" t="s">
        <v>70</v>
      </c>
      <c r="K455" s="87" t="s">
        <v>71</v>
      </c>
      <c r="L455" s="90" t="s">
        <v>2160</v>
      </c>
      <c r="M455" s="91" t="s">
        <v>2161</v>
      </c>
      <c r="N455" s="90" t="s">
        <v>2162</v>
      </c>
      <c r="O455" s="90" t="str">
        <f t="shared" ref="O455:O519" si="47">_xlfn.TEXTJOIN(", ",TRUE,$P455:$T455)</f>
        <v>Distrital</v>
      </c>
      <c r="P455" s="87" t="s">
        <v>73</v>
      </c>
      <c r="Q455" s="87"/>
      <c r="R455" s="87"/>
      <c r="S455" s="87"/>
      <c r="T455" s="87"/>
      <c r="U455" s="87"/>
      <c r="V455" s="90" t="str">
        <f t="shared" ref="V455:V519" si="48">_xlfn.TEXTJOIN(", ",TRUE,$W455:$AB455)</f>
        <v>Distrital</v>
      </c>
      <c r="W455" s="87" t="s">
        <v>73</v>
      </c>
      <c r="X455" s="87"/>
      <c r="Y455" s="87"/>
      <c r="Z455" s="87"/>
      <c r="AA455" s="87"/>
      <c r="AB455" s="87"/>
      <c r="AC455" s="90" t="str">
        <f t="shared" ref="AC455:AC519" si="49">_xlfn.TEXTJOIN(", ",TRUE,$AD455:$AM455)</f>
        <v>Distrital</v>
      </c>
      <c r="AD455" s="87" t="s">
        <v>73</v>
      </c>
      <c r="AE455" s="87"/>
      <c r="AF455" s="87"/>
      <c r="AG455" s="87"/>
      <c r="AH455" s="87"/>
      <c r="AI455" s="87"/>
      <c r="AJ455" s="87"/>
      <c r="AK455" s="87"/>
      <c r="AL455" s="87"/>
      <c r="AM455" s="87"/>
      <c r="AN455" s="90" t="s">
        <v>2121</v>
      </c>
      <c r="AO455" s="90" t="s">
        <v>1934</v>
      </c>
      <c r="AP455" s="82"/>
      <c r="AQ455" s="87" t="s">
        <v>59</v>
      </c>
      <c r="AR455" s="87" t="s">
        <v>80</v>
      </c>
      <c r="AS455" s="82"/>
      <c r="AT455" s="87">
        <v>15</v>
      </c>
      <c r="AU455" s="87">
        <v>11</v>
      </c>
      <c r="AV455" s="87">
        <f t="shared" si="46"/>
        <v>26</v>
      </c>
      <c r="AW455" s="87" t="str">
        <f t="shared" si="45"/>
        <v>No Aplica</v>
      </c>
      <c r="AX455" s="87" t="s">
        <v>78</v>
      </c>
      <c r="AY455" s="87"/>
      <c r="AZ455" s="87"/>
      <c r="BA455" s="91" t="s">
        <v>2163</v>
      </c>
      <c r="BB455" s="84"/>
      <c r="BC455" s="85"/>
      <c r="BD455" s="85"/>
    </row>
    <row r="456" spans="1:56" s="86" customFormat="1" ht="46.5" customHeight="1">
      <c r="A456" s="78">
        <v>451</v>
      </c>
      <c r="B456" s="79" t="s">
        <v>2164</v>
      </c>
      <c r="C456" s="88">
        <v>45429</v>
      </c>
      <c r="D456" s="89">
        <v>0.58333333333333337</v>
      </c>
      <c r="E456" s="87" t="s">
        <v>58</v>
      </c>
      <c r="F456" s="87" t="s">
        <v>1750</v>
      </c>
      <c r="G456" s="87" t="s">
        <v>95</v>
      </c>
      <c r="H456" s="90" t="s">
        <v>2074</v>
      </c>
      <c r="I456" s="90" t="s">
        <v>64</v>
      </c>
      <c r="J456" s="87" t="s">
        <v>70</v>
      </c>
      <c r="K456" s="87" t="s">
        <v>71</v>
      </c>
      <c r="L456" s="90" t="s">
        <v>72</v>
      </c>
      <c r="M456" s="91" t="s">
        <v>72</v>
      </c>
      <c r="N456" s="90" t="s">
        <v>72</v>
      </c>
      <c r="O456" s="90" t="str">
        <f t="shared" si="47"/>
        <v>Distrital</v>
      </c>
      <c r="P456" s="87" t="s">
        <v>73</v>
      </c>
      <c r="Q456" s="87"/>
      <c r="R456" s="87"/>
      <c r="S456" s="87"/>
      <c r="T456" s="87"/>
      <c r="U456" s="87"/>
      <c r="V456" s="90" t="str">
        <f t="shared" si="48"/>
        <v>Distrital</v>
      </c>
      <c r="W456" s="87" t="s">
        <v>73</v>
      </c>
      <c r="X456" s="87"/>
      <c r="Y456" s="87"/>
      <c r="Z456" s="87"/>
      <c r="AA456" s="87"/>
      <c r="AB456" s="87"/>
      <c r="AC456" s="90" t="str">
        <f t="shared" si="49"/>
        <v>Distrital</v>
      </c>
      <c r="AD456" s="87" t="s">
        <v>73</v>
      </c>
      <c r="AE456" s="87"/>
      <c r="AF456" s="87"/>
      <c r="AG456" s="87"/>
      <c r="AH456" s="87"/>
      <c r="AI456" s="87"/>
      <c r="AJ456" s="87"/>
      <c r="AK456" s="87"/>
      <c r="AL456" s="87"/>
      <c r="AM456" s="87"/>
      <c r="AN456" s="90" t="s">
        <v>160</v>
      </c>
      <c r="AO456" s="90" t="s">
        <v>1947</v>
      </c>
      <c r="AP456" s="82"/>
      <c r="AQ456" s="87" t="s">
        <v>59</v>
      </c>
      <c r="AR456" s="87" t="s">
        <v>80</v>
      </c>
      <c r="AS456" s="82"/>
      <c r="AT456" s="87">
        <v>0</v>
      </c>
      <c r="AU456" s="87">
        <v>11</v>
      </c>
      <c r="AV456" s="87">
        <f t="shared" si="46"/>
        <v>11</v>
      </c>
      <c r="AW456" s="87" t="str">
        <f t="shared" si="45"/>
        <v>No Aplica</v>
      </c>
      <c r="AX456" s="87" t="s">
        <v>78</v>
      </c>
      <c r="AY456" s="87"/>
      <c r="AZ456" s="87"/>
      <c r="BA456" s="91" t="s">
        <v>2165</v>
      </c>
      <c r="BB456" s="84"/>
      <c r="BC456" s="85"/>
      <c r="BD456" s="85"/>
    </row>
    <row r="457" spans="1:56" s="86" customFormat="1" ht="46.5" customHeight="1">
      <c r="A457" s="87">
        <v>452</v>
      </c>
      <c r="B457" s="79" t="s">
        <v>2166</v>
      </c>
      <c r="C457" s="88">
        <v>45429</v>
      </c>
      <c r="D457" s="89">
        <v>0.60416666666666663</v>
      </c>
      <c r="E457" s="87" t="s">
        <v>58</v>
      </c>
      <c r="F457" s="87" t="s">
        <v>1142</v>
      </c>
      <c r="G457" s="87" t="s">
        <v>95</v>
      </c>
      <c r="H457" s="90" t="s">
        <v>2167</v>
      </c>
      <c r="I457" s="90" t="s">
        <v>64</v>
      </c>
      <c r="J457" s="87" t="s">
        <v>70</v>
      </c>
      <c r="K457" s="87"/>
      <c r="L457" s="90" t="s">
        <v>1222</v>
      </c>
      <c r="M457" s="91">
        <v>3013547532</v>
      </c>
      <c r="N457" s="90" t="s">
        <v>1223</v>
      </c>
      <c r="O457" s="90" t="str">
        <f t="shared" si="47"/>
        <v>Distrital</v>
      </c>
      <c r="P457" s="87" t="s">
        <v>73</v>
      </c>
      <c r="Q457" s="87"/>
      <c r="R457" s="87"/>
      <c r="S457" s="87"/>
      <c r="T457" s="87"/>
      <c r="U457" s="87"/>
      <c r="V457" s="90" t="str">
        <f t="shared" si="48"/>
        <v>Distrital</v>
      </c>
      <c r="W457" s="87" t="s">
        <v>73</v>
      </c>
      <c r="X457" s="87"/>
      <c r="Y457" s="87"/>
      <c r="Z457" s="87"/>
      <c r="AA457" s="87"/>
      <c r="AB457" s="87"/>
      <c r="AC457" s="90" t="str">
        <f t="shared" si="49"/>
        <v>Distrital</v>
      </c>
      <c r="AD457" s="87" t="s">
        <v>73</v>
      </c>
      <c r="AE457" s="87"/>
      <c r="AF457" s="87"/>
      <c r="AG457" s="87"/>
      <c r="AH457" s="87"/>
      <c r="AI457" s="87"/>
      <c r="AJ457" s="87"/>
      <c r="AK457" s="87"/>
      <c r="AL457" s="87"/>
      <c r="AM457" s="87"/>
      <c r="AN457" s="90" t="s">
        <v>2168</v>
      </c>
      <c r="AO457" s="92" t="s">
        <v>2169</v>
      </c>
      <c r="AP457" s="82"/>
      <c r="AQ457" s="87" t="s">
        <v>59</v>
      </c>
      <c r="AR457" s="87" t="s">
        <v>80</v>
      </c>
      <c r="AS457" s="82"/>
      <c r="AT457" s="87">
        <v>1</v>
      </c>
      <c r="AU457" s="87">
        <v>2</v>
      </c>
      <c r="AV457" s="87">
        <f t="shared" si="46"/>
        <v>3</v>
      </c>
      <c r="AW457" s="87" t="str">
        <f t="shared" si="45"/>
        <v>No Aplica</v>
      </c>
      <c r="AX457" s="87" t="s">
        <v>78</v>
      </c>
      <c r="AY457" s="87"/>
      <c r="AZ457" s="87"/>
      <c r="BA457" s="91" t="s">
        <v>2170</v>
      </c>
      <c r="BB457" s="84"/>
      <c r="BC457" s="85"/>
      <c r="BD457" s="85"/>
    </row>
    <row r="458" spans="1:56" s="86" customFormat="1" ht="46.5" customHeight="1">
      <c r="A458" s="78">
        <v>453</v>
      </c>
      <c r="B458" s="79" t="s">
        <v>2171</v>
      </c>
      <c r="C458" s="88">
        <v>45429</v>
      </c>
      <c r="D458" s="89">
        <v>0.70833333333333337</v>
      </c>
      <c r="E458" s="87" t="s">
        <v>93</v>
      </c>
      <c r="F458" s="87" t="s">
        <v>102</v>
      </c>
      <c r="G458" s="87" t="s">
        <v>95</v>
      </c>
      <c r="H458" s="90" t="s">
        <v>2172</v>
      </c>
      <c r="I458" s="90" t="s">
        <v>118</v>
      </c>
      <c r="J458" s="87" t="s">
        <v>119</v>
      </c>
      <c r="K458" s="87" t="s">
        <v>129</v>
      </c>
      <c r="L458" s="90" t="s">
        <v>891</v>
      </c>
      <c r="M458" s="91" t="s">
        <v>1039</v>
      </c>
      <c r="N458" s="90" t="s">
        <v>2173</v>
      </c>
      <c r="O458" s="90" t="str">
        <f t="shared" si="47"/>
        <v>Distrital</v>
      </c>
      <c r="P458" s="87" t="s">
        <v>73</v>
      </c>
      <c r="Q458" s="87"/>
      <c r="R458" s="87"/>
      <c r="S458" s="87"/>
      <c r="T458" s="87"/>
      <c r="U458" s="87"/>
      <c r="V458" s="90" t="str">
        <f t="shared" si="48"/>
        <v>Distrital</v>
      </c>
      <c r="W458" s="87" t="s">
        <v>73</v>
      </c>
      <c r="X458" s="87"/>
      <c r="Y458" s="87"/>
      <c r="Z458" s="87"/>
      <c r="AA458" s="87"/>
      <c r="AB458" s="87"/>
      <c r="AC458" s="90" t="str">
        <f t="shared" si="49"/>
        <v>Distrital</v>
      </c>
      <c r="AD458" s="87" t="s">
        <v>73</v>
      </c>
      <c r="AE458" s="87"/>
      <c r="AF458" s="87"/>
      <c r="AG458" s="87"/>
      <c r="AH458" s="87"/>
      <c r="AI458" s="87"/>
      <c r="AJ458" s="87"/>
      <c r="AK458" s="87"/>
      <c r="AL458" s="87"/>
      <c r="AM458" s="87"/>
      <c r="AN458" s="90" t="s">
        <v>160</v>
      </c>
      <c r="AO458" s="92" t="s">
        <v>2174</v>
      </c>
      <c r="AP458" s="82"/>
      <c r="AQ458" s="87" t="s">
        <v>59</v>
      </c>
      <c r="AR458" s="87" t="s">
        <v>80</v>
      </c>
      <c r="AS458" s="82"/>
      <c r="AT458" s="87">
        <v>11</v>
      </c>
      <c r="AU458" s="87">
        <v>1</v>
      </c>
      <c r="AV458" s="87">
        <f t="shared" si="46"/>
        <v>12</v>
      </c>
      <c r="AW458" s="87" t="str">
        <f t="shared" si="45"/>
        <v>No Aplica</v>
      </c>
      <c r="AX458" s="87" t="s">
        <v>78</v>
      </c>
      <c r="AY458" s="87"/>
      <c r="AZ458" s="87"/>
      <c r="BA458" s="91" t="s">
        <v>2175</v>
      </c>
      <c r="BB458" s="84"/>
      <c r="BC458" s="85"/>
      <c r="BD458" s="85"/>
    </row>
    <row r="459" spans="1:56" s="86" customFormat="1" ht="46.5" customHeight="1">
      <c r="A459" s="87">
        <v>454</v>
      </c>
      <c r="B459" s="79" t="s">
        <v>2176</v>
      </c>
      <c r="C459" s="88">
        <v>45430</v>
      </c>
      <c r="D459" s="89">
        <v>0.33333333333333331</v>
      </c>
      <c r="E459" s="87" t="s">
        <v>58</v>
      </c>
      <c r="F459" s="87" t="s">
        <v>149</v>
      </c>
      <c r="G459" s="87" t="s">
        <v>62</v>
      </c>
      <c r="H459" s="90" t="s">
        <v>2177</v>
      </c>
      <c r="I459" s="90" t="s">
        <v>64</v>
      </c>
      <c r="J459" s="87" t="s">
        <v>70</v>
      </c>
      <c r="K459" s="87" t="s">
        <v>104</v>
      </c>
      <c r="L459" s="90" t="s">
        <v>2178</v>
      </c>
      <c r="M459" s="91">
        <v>3219263192</v>
      </c>
      <c r="N459" s="90" t="s">
        <v>2179</v>
      </c>
      <c r="O459" s="90" t="str">
        <f t="shared" si="47"/>
        <v>San Cristóbal</v>
      </c>
      <c r="P459" s="87" t="s">
        <v>370</v>
      </c>
      <c r="Q459" s="87"/>
      <c r="R459" s="87"/>
      <c r="S459" s="87"/>
      <c r="T459" s="87"/>
      <c r="U459" s="87"/>
      <c r="V459" s="90" t="str">
        <f t="shared" si="48"/>
        <v>Suroriente, Ruralidad</v>
      </c>
      <c r="W459" s="87" t="s">
        <v>108</v>
      </c>
      <c r="X459" s="87" t="s">
        <v>109</v>
      </c>
      <c r="Y459" s="87"/>
      <c r="Z459" s="87"/>
      <c r="AA459" s="87"/>
      <c r="AB459" s="87"/>
      <c r="AC459" s="90" t="str">
        <f t="shared" si="49"/>
        <v>San Cristobal, Cerros Orientales</v>
      </c>
      <c r="AD459" s="87" t="s">
        <v>371</v>
      </c>
      <c r="AE459" s="87" t="s">
        <v>222</v>
      </c>
      <c r="AF459" s="87"/>
      <c r="AG459" s="87"/>
      <c r="AH459" s="87"/>
      <c r="AI459" s="87"/>
      <c r="AJ459" s="87"/>
      <c r="AK459" s="87"/>
      <c r="AL459" s="87"/>
      <c r="AM459" s="87"/>
      <c r="AN459" s="90" t="s">
        <v>1553</v>
      </c>
      <c r="AO459" s="90" t="s">
        <v>2180</v>
      </c>
      <c r="AP459" s="82"/>
      <c r="AQ459" s="87" t="s">
        <v>59</v>
      </c>
      <c r="AR459" s="87" t="s">
        <v>80</v>
      </c>
      <c r="AS459" s="82"/>
      <c r="AT459" s="87">
        <v>30</v>
      </c>
      <c r="AU459" s="87">
        <v>3</v>
      </c>
      <c r="AV459" s="87">
        <f t="shared" si="46"/>
        <v>33</v>
      </c>
      <c r="AW459" s="87" t="str">
        <f t="shared" si="45"/>
        <v>No Aplica</v>
      </c>
      <c r="AX459" s="87" t="s">
        <v>78</v>
      </c>
      <c r="AY459" s="87"/>
      <c r="AZ459" s="87"/>
      <c r="BA459" s="91" t="s">
        <v>2181</v>
      </c>
      <c r="BB459" s="84"/>
      <c r="BC459" s="85"/>
      <c r="BD459" s="85"/>
    </row>
    <row r="460" spans="1:56" s="86" customFormat="1" ht="46.5" customHeight="1">
      <c r="A460" s="78">
        <v>455</v>
      </c>
      <c r="B460" s="79" t="s">
        <v>2182</v>
      </c>
      <c r="C460" s="88">
        <v>45430</v>
      </c>
      <c r="D460" s="89">
        <v>0.375</v>
      </c>
      <c r="E460" s="87" t="s">
        <v>58</v>
      </c>
      <c r="F460" s="87" t="s">
        <v>116</v>
      </c>
      <c r="G460" s="87" t="s">
        <v>62</v>
      </c>
      <c r="H460" s="90" t="s">
        <v>2183</v>
      </c>
      <c r="I460" s="90" t="s">
        <v>118</v>
      </c>
      <c r="J460" s="87" t="s">
        <v>70</v>
      </c>
      <c r="K460" s="87" t="s">
        <v>2184</v>
      </c>
      <c r="L460" s="90" t="s">
        <v>1384</v>
      </c>
      <c r="M460" s="91" t="s">
        <v>72</v>
      </c>
      <c r="N460" s="90" t="s">
        <v>1385</v>
      </c>
      <c r="O460" s="90" t="str">
        <f t="shared" si="47"/>
        <v>Engativá, Fontibón</v>
      </c>
      <c r="P460" s="87" t="s">
        <v>123</v>
      </c>
      <c r="Q460" s="87" t="s">
        <v>420</v>
      </c>
      <c r="R460" s="87"/>
      <c r="S460" s="87"/>
      <c r="T460" s="87"/>
      <c r="U460" s="87"/>
      <c r="V460" s="90" t="str">
        <f t="shared" si="48"/>
        <v>Occidente</v>
      </c>
      <c r="W460" s="87" t="s">
        <v>124</v>
      </c>
      <c r="X460" s="87"/>
      <c r="Y460" s="87"/>
      <c r="Z460" s="87"/>
      <c r="AA460" s="87"/>
      <c r="AB460" s="87"/>
      <c r="AC460" s="90" t="str">
        <f t="shared" si="49"/>
        <v>Engativá, Tabora, Salitre, Fontibón</v>
      </c>
      <c r="AD460" s="87" t="s">
        <v>123</v>
      </c>
      <c r="AE460" s="87" t="s">
        <v>257</v>
      </c>
      <c r="AF460" s="87" t="s">
        <v>258</v>
      </c>
      <c r="AG460" s="87" t="s">
        <v>420</v>
      </c>
      <c r="AH460" s="87"/>
      <c r="AI460" s="87"/>
      <c r="AJ460" s="87"/>
      <c r="AK460" s="87"/>
      <c r="AL460" s="87"/>
      <c r="AM460" s="87"/>
      <c r="AN460" s="90" t="s">
        <v>2185</v>
      </c>
      <c r="AO460" s="90" t="s">
        <v>2186</v>
      </c>
      <c r="AP460" s="82"/>
      <c r="AQ460" s="87" t="s">
        <v>59</v>
      </c>
      <c r="AR460" s="87" t="s">
        <v>80</v>
      </c>
      <c r="AS460" s="82"/>
      <c r="AT460" s="87">
        <v>39</v>
      </c>
      <c r="AU460" s="87">
        <v>4</v>
      </c>
      <c r="AV460" s="87">
        <f t="shared" si="46"/>
        <v>43</v>
      </c>
      <c r="AW460" s="87" t="str">
        <f t="shared" si="45"/>
        <v>No Aplica</v>
      </c>
      <c r="AX460" s="87" t="s">
        <v>78</v>
      </c>
      <c r="AY460" s="87"/>
      <c r="AZ460" s="87"/>
      <c r="BA460" s="91" t="s">
        <v>2187</v>
      </c>
      <c r="BB460" s="84"/>
      <c r="BC460" s="85"/>
      <c r="BD460" s="85"/>
    </row>
    <row r="461" spans="1:56" s="86" customFormat="1" ht="46.5" customHeight="1">
      <c r="A461" s="87">
        <v>456</v>
      </c>
      <c r="B461" s="79" t="s">
        <v>1792</v>
      </c>
      <c r="C461" s="88">
        <v>45430</v>
      </c>
      <c r="D461" s="89">
        <v>0.70833333333333337</v>
      </c>
      <c r="E461" s="87" t="s">
        <v>93</v>
      </c>
      <c r="F461" s="87" t="s">
        <v>102</v>
      </c>
      <c r="G461" s="87" t="s">
        <v>95</v>
      </c>
      <c r="H461" s="90" t="s">
        <v>2188</v>
      </c>
      <c r="I461" s="90" t="s">
        <v>118</v>
      </c>
      <c r="J461" s="87" t="s">
        <v>119</v>
      </c>
      <c r="K461" s="87" t="s">
        <v>129</v>
      </c>
      <c r="L461" s="90" t="s">
        <v>2189</v>
      </c>
      <c r="M461" s="91">
        <v>3013090210</v>
      </c>
      <c r="N461" s="90" t="s">
        <v>692</v>
      </c>
      <c r="O461" s="90" t="str">
        <f t="shared" si="47"/>
        <v>Distrital</v>
      </c>
      <c r="P461" s="87" t="s">
        <v>73</v>
      </c>
      <c r="Q461" s="87"/>
      <c r="R461" s="87"/>
      <c r="S461" s="87"/>
      <c r="T461" s="87"/>
      <c r="U461" s="87"/>
      <c r="V461" s="90" t="str">
        <f t="shared" si="48"/>
        <v>Distrital</v>
      </c>
      <c r="W461" s="87" t="s">
        <v>73</v>
      </c>
      <c r="X461" s="87"/>
      <c r="Y461" s="87"/>
      <c r="Z461" s="87"/>
      <c r="AA461" s="87"/>
      <c r="AB461" s="87"/>
      <c r="AC461" s="90" t="str">
        <f t="shared" si="49"/>
        <v>Distrital</v>
      </c>
      <c r="AD461" s="87" t="s">
        <v>73</v>
      </c>
      <c r="AE461" s="87"/>
      <c r="AF461" s="87"/>
      <c r="AG461" s="87"/>
      <c r="AH461" s="87"/>
      <c r="AI461" s="87"/>
      <c r="AJ461" s="87"/>
      <c r="AK461" s="87"/>
      <c r="AL461" s="87"/>
      <c r="AM461" s="87"/>
      <c r="AN461" s="90" t="s">
        <v>160</v>
      </c>
      <c r="AO461" s="92" t="s">
        <v>2190</v>
      </c>
      <c r="AP461" s="82"/>
      <c r="AQ461" s="87" t="s">
        <v>59</v>
      </c>
      <c r="AR461" s="87" t="s">
        <v>80</v>
      </c>
      <c r="AS461" s="82"/>
      <c r="AT461" s="87">
        <v>12</v>
      </c>
      <c r="AU461" s="87">
        <v>1</v>
      </c>
      <c r="AV461" s="87">
        <f t="shared" si="46"/>
        <v>13</v>
      </c>
      <c r="AW461" s="87" t="str">
        <f t="shared" si="45"/>
        <v>No Aplica</v>
      </c>
      <c r="AX461" s="87" t="s">
        <v>78</v>
      </c>
      <c r="AY461" s="87"/>
      <c r="AZ461" s="87"/>
      <c r="BA461" s="91" t="s">
        <v>2191</v>
      </c>
      <c r="BB461" s="84"/>
      <c r="BC461" s="85"/>
      <c r="BD461" s="85"/>
    </row>
    <row r="462" spans="1:56" s="86" customFormat="1" ht="46.5" customHeight="1">
      <c r="A462" s="78">
        <v>457</v>
      </c>
      <c r="B462" s="79" t="s">
        <v>1903</v>
      </c>
      <c r="C462" s="88">
        <v>45432</v>
      </c>
      <c r="D462" s="89">
        <v>0.75</v>
      </c>
      <c r="E462" s="87" t="s">
        <v>58</v>
      </c>
      <c r="F462" s="87" t="s">
        <v>61</v>
      </c>
      <c r="G462" s="87" t="s">
        <v>62</v>
      </c>
      <c r="H462" s="90" t="s">
        <v>1904</v>
      </c>
      <c r="I462" s="90" t="s">
        <v>172</v>
      </c>
      <c r="J462" s="87" t="s">
        <v>70</v>
      </c>
      <c r="K462" s="87" t="s">
        <v>300</v>
      </c>
      <c r="L462" s="90" t="s">
        <v>72</v>
      </c>
      <c r="M462" s="91" t="s">
        <v>72</v>
      </c>
      <c r="N462" s="90" t="s">
        <v>72</v>
      </c>
      <c r="O462" s="90" t="str">
        <f t="shared" si="47"/>
        <v>Distrital</v>
      </c>
      <c r="P462" s="87" t="s">
        <v>73</v>
      </c>
      <c r="Q462" s="87"/>
      <c r="R462" s="87"/>
      <c r="S462" s="87"/>
      <c r="T462" s="87"/>
      <c r="U462" s="87"/>
      <c r="V462" s="90" t="str">
        <f t="shared" si="48"/>
        <v>Distrital</v>
      </c>
      <c r="W462" s="87" t="s">
        <v>73</v>
      </c>
      <c r="X462" s="87"/>
      <c r="Y462" s="87"/>
      <c r="Z462" s="87"/>
      <c r="AA462" s="87"/>
      <c r="AB462" s="87"/>
      <c r="AC462" s="90" t="str">
        <f t="shared" si="49"/>
        <v>Distrital</v>
      </c>
      <c r="AD462" s="87" t="s">
        <v>73</v>
      </c>
      <c r="AE462" s="87"/>
      <c r="AF462" s="87"/>
      <c r="AG462" s="87"/>
      <c r="AH462" s="87"/>
      <c r="AI462" s="87"/>
      <c r="AJ462" s="87"/>
      <c r="AK462" s="87"/>
      <c r="AL462" s="87"/>
      <c r="AM462" s="87"/>
      <c r="AN462" s="90" t="s">
        <v>1739</v>
      </c>
      <c r="AO462" s="90" t="s">
        <v>1740</v>
      </c>
      <c r="AP462" s="82"/>
      <c r="AQ462" s="87" t="s">
        <v>60</v>
      </c>
      <c r="AR462" s="87" t="s">
        <v>1741</v>
      </c>
      <c r="AS462" s="82"/>
      <c r="AT462" s="87">
        <v>144</v>
      </c>
      <c r="AU462" s="87">
        <v>7</v>
      </c>
      <c r="AV462" s="87">
        <f t="shared" si="46"/>
        <v>151</v>
      </c>
      <c r="AW462" s="87" t="str">
        <f t="shared" si="45"/>
        <v>No Aplica</v>
      </c>
      <c r="AX462" s="87" t="s">
        <v>78</v>
      </c>
      <c r="AY462" s="87"/>
      <c r="AZ462" s="87"/>
      <c r="BA462" s="91" t="s">
        <v>2192</v>
      </c>
      <c r="BB462" s="84"/>
      <c r="BC462" s="85"/>
      <c r="BD462" s="85"/>
    </row>
    <row r="463" spans="1:56" s="86" customFormat="1" ht="46.5" customHeight="1">
      <c r="A463" s="87">
        <v>458</v>
      </c>
      <c r="B463" s="79" t="s">
        <v>2193</v>
      </c>
      <c r="C463" s="88">
        <v>45432</v>
      </c>
      <c r="D463" s="89">
        <v>0.625</v>
      </c>
      <c r="E463" s="87" t="s">
        <v>58</v>
      </c>
      <c r="F463" s="87" t="s">
        <v>135</v>
      </c>
      <c r="G463" s="87" t="s">
        <v>95</v>
      </c>
      <c r="H463" s="90" t="s">
        <v>2194</v>
      </c>
      <c r="I463" s="90" t="s">
        <v>64</v>
      </c>
      <c r="J463" s="87" t="s">
        <v>70</v>
      </c>
      <c r="K463" s="87" t="s">
        <v>71</v>
      </c>
      <c r="L463" s="90" t="s">
        <v>72</v>
      </c>
      <c r="M463" s="91" t="s">
        <v>72</v>
      </c>
      <c r="N463" s="90" t="s">
        <v>72</v>
      </c>
      <c r="O463" s="90" t="str">
        <f t="shared" si="47"/>
        <v>Distrital</v>
      </c>
      <c r="P463" s="87" t="s">
        <v>73</v>
      </c>
      <c r="Q463" s="87"/>
      <c r="R463" s="87"/>
      <c r="S463" s="87"/>
      <c r="T463" s="87"/>
      <c r="U463" s="87"/>
      <c r="V463" s="90" t="str">
        <f t="shared" si="48"/>
        <v>Distrital</v>
      </c>
      <c r="W463" s="87" t="s">
        <v>73</v>
      </c>
      <c r="X463" s="87"/>
      <c r="Y463" s="87"/>
      <c r="Z463" s="87"/>
      <c r="AA463" s="87"/>
      <c r="AB463" s="87"/>
      <c r="AC463" s="90" t="str">
        <f t="shared" si="49"/>
        <v>Distrital</v>
      </c>
      <c r="AD463" s="87" t="s">
        <v>73</v>
      </c>
      <c r="AE463" s="87"/>
      <c r="AF463" s="87"/>
      <c r="AG463" s="87"/>
      <c r="AH463" s="87"/>
      <c r="AI463" s="87"/>
      <c r="AJ463" s="87"/>
      <c r="AK463" s="87"/>
      <c r="AL463" s="87"/>
      <c r="AM463" s="87"/>
      <c r="AN463" s="90" t="s">
        <v>160</v>
      </c>
      <c r="AO463" s="92" t="s">
        <v>2195</v>
      </c>
      <c r="AP463" s="82"/>
      <c r="AQ463" s="87" t="s">
        <v>59</v>
      </c>
      <c r="AR463" s="87" t="s">
        <v>80</v>
      </c>
      <c r="AS463" s="82"/>
      <c r="AT463" s="87">
        <v>0</v>
      </c>
      <c r="AU463" s="87">
        <v>5</v>
      </c>
      <c r="AV463" s="87">
        <f t="shared" si="46"/>
        <v>5</v>
      </c>
      <c r="AW463" s="87" t="str">
        <f t="shared" si="45"/>
        <v>No Aplica</v>
      </c>
      <c r="AX463" s="87" t="s">
        <v>78</v>
      </c>
      <c r="AY463" s="87"/>
      <c r="AZ463" s="87"/>
      <c r="BA463" s="91" t="s">
        <v>2196</v>
      </c>
      <c r="BB463" s="84"/>
      <c r="BC463" s="85"/>
      <c r="BD463" s="85"/>
    </row>
    <row r="464" spans="1:56" s="86" customFormat="1" ht="46.5" customHeight="1">
      <c r="A464" s="78">
        <v>459</v>
      </c>
      <c r="B464" s="79" t="s">
        <v>2197</v>
      </c>
      <c r="C464" s="88">
        <v>45432</v>
      </c>
      <c r="D464" s="89">
        <v>0.70833333333333337</v>
      </c>
      <c r="E464" s="87" t="s">
        <v>93</v>
      </c>
      <c r="F464" s="87" t="s">
        <v>102</v>
      </c>
      <c r="G464" s="87" t="s">
        <v>95</v>
      </c>
      <c r="H464" s="90" t="s">
        <v>2198</v>
      </c>
      <c r="I464" s="90" t="s">
        <v>172</v>
      </c>
      <c r="J464" s="87" t="s">
        <v>119</v>
      </c>
      <c r="K464" s="87" t="s">
        <v>129</v>
      </c>
      <c r="L464" s="90" t="s">
        <v>2199</v>
      </c>
      <c r="M464" s="91">
        <v>3178255261</v>
      </c>
      <c r="N464" s="90" t="s">
        <v>736</v>
      </c>
      <c r="O464" s="90" t="str">
        <f t="shared" si="47"/>
        <v>Distrital</v>
      </c>
      <c r="P464" s="87" t="s">
        <v>73</v>
      </c>
      <c r="Q464" s="87"/>
      <c r="R464" s="87"/>
      <c r="S464" s="87"/>
      <c r="T464" s="87"/>
      <c r="U464" s="87"/>
      <c r="V464" s="90" t="str">
        <f t="shared" si="48"/>
        <v>Distrital</v>
      </c>
      <c r="W464" s="87" t="s">
        <v>73</v>
      </c>
      <c r="X464" s="87"/>
      <c r="Y464" s="87"/>
      <c r="Z464" s="87"/>
      <c r="AA464" s="87"/>
      <c r="AB464" s="87"/>
      <c r="AC464" s="90" t="str">
        <f t="shared" si="49"/>
        <v>Distrital</v>
      </c>
      <c r="AD464" s="87" t="s">
        <v>73</v>
      </c>
      <c r="AE464" s="87"/>
      <c r="AF464" s="87"/>
      <c r="AG464" s="87"/>
      <c r="AH464" s="87"/>
      <c r="AI464" s="87"/>
      <c r="AJ464" s="87"/>
      <c r="AK464" s="87"/>
      <c r="AL464" s="87"/>
      <c r="AM464" s="87"/>
      <c r="AN464" s="90" t="s">
        <v>160</v>
      </c>
      <c r="AO464" s="92" t="s">
        <v>2200</v>
      </c>
      <c r="AP464" s="82"/>
      <c r="AQ464" s="87" t="s">
        <v>59</v>
      </c>
      <c r="AR464" s="87" t="s">
        <v>80</v>
      </c>
      <c r="AS464" s="82"/>
      <c r="AT464" s="87">
        <v>13</v>
      </c>
      <c r="AU464" s="87">
        <v>1</v>
      </c>
      <c r="AV464" s="87">
        <f t="shared" si="46"/>
        <v>14</v>
      </c>
      <c r="AW464" s="87" t="str">
        <f t="shared" si="45"/>
        <v>No Aplica</v>
      </c>
      <c r="AX464" s="87" t="s">
        <v>78</v>
      </c>
      <c r="AY464" s="87"/>
      <c r="AZ464" s="87"/>
      <c r="BA464" s="91" t="s">
        <v>2201</v>
      </c>
      <c r="BB464" s="84"/>
      <c r="BC464" s="85"/>
      <c r="BD464" s="85"/>
    </row>
    <row r="465" spans="1:56" s="86" customFormat="1" ht="46.5" customHeight="1">
      <c r="A465" s="87">
        <v>460</v>
      </c>
      <c r="B465" s="79" t="s">
        <v>2202</v>
      </c>
      <c r="C465" s="88">
        <v>45432</v>
      </c>
      <c r="D465" s="89">
        <v>0.70833333333333337</v>
      </c>
      <c r="E465" s="87" t="s">
        <v>93</v>
      </c>
      <c r="F465" s="87" t="s">
        <v>102</v>
      </c>
      <c r="G465" s="87" t="s">
        <v>95</v>
      </c>
      <c r="H465" s="90" t="s">
        <v>2203</v>
      </c>
      <c r="I465" s="90" t="s">
        <v>118</v>
      </c>
      <c r="J465" s="87" t="s">
        <v>119</v>
      </c>
      <c r="K465" s="87" t="s">
        <v>129</v>
      </c>
      <c r="L465" s="90" t="s">
        <v>905</v>
      </c>
      <c r="M465" s="91">
        <v>3212029774</v>
      </c>
      <c r="N465" s="90" t="s">
        <v>906</v>
      </c>
      <c r="O465" s="90" t="str">
        <f t="shared" si="47"/>
        <v>Distrital</v>
      </c>
      <c r="P465" s="87" t="s">
        <v>73</v>
      </c>
      <c r="Q465" s="87"/>
      <c r="R465" s="87"/>
      <c r="S465" s="87"/>
      <c r="T465" s="87"/>
      <c r="U465" s="87"/>
      <c r="V465" s="90" t="str">
        <f t="shared" si="48"/>
        <v>Distrital</v>
      </c>
      <c r="W465" s="87" t="s">
        <v>73</v>
      </c>
      <c r="X465" s="87"/>
      <c r="Y465" s="87"/>
      <c r="Z465" s="87"/>
      <c r="AA465" s="87"/>
      <c r="AB465" s="87"/>
      <c r="AC465" s="90" t="str">
        <f t="shared" si="49"/>
        <v>Distrital</v>
      </c>
      <c r="AD465" s="87" t="s">
        <v>73</v>
      </c>
      <c r="AE465" s="87"/>
      <c r="AF465" s="87"/>
      <c r="AG465" s="87"/>
      <c r="AH465" s="87"/>
      <c r="AI465" s="87"/>
      <c r="AJ465" s="87"/>
      <c r="AK465" s="87"/>
      <c r="AL465" s="87"/>
      <c r="AM465" s="87"/>
      <c r="AN465" s="90" t="s">
        <v>160</v>
      </c>
      <c r="AO465" s="92" t="s">
        <v>2204</v>
      </c>
      <c r="AP465" s="82"/>
      <c r="AQ465" s="87" t="s">
        <v>59</v>
      </c>
      <c r="AR465" s="87" t="s">
        <v>80</v>
      </c>
      <c r="AS465" s="82"/>
      <c r="AT465" s="87">
        <v>33</v>
      </c>
      <c r="AU465" s="87">
        <v>1</v>
      </c>
      <c r="AV465" s="87">
        <f t="shared" si="46"/>
        <v>34</v>
      </c>
      <c r="AW465" s="87" t="str">
        <f t="shared" si="45"/>
        <v>No Aplica</v>
      </c>
      <c r="AX465" s="87" t="s">
        <v>78</v>
      </c>
      <c r="AY465" s="87"/>
      <c r="AZ465" s="87"/>
      <c r="BA465" s="91" t="s">
        <v>2205</v>
      </c>
      <c r="BB465" s="84"/>
      <c r="BC465" s="85"/>
      <c r="BD465" s="85"/>
    </row>
    <row r="466" spans="1:56" s="86" customFormat="1" ht="46.5" customHeight="1">
      <c r="A466" s="78">
        <v>461</v>
      </c>
      <c r="B466" s="79" t="s">
        <v>2206</v>
      </c>
      <c r="C466" s="88">
        <v>45433</v>
      </c>
      <c r="D466" s="89">
        <v>0.3125</v>
      </c>
      <c r="E466" s="87" t="s">
        <v>353</v>
      </c>
      <c r="F466" s="87" t="s">
        <v>2207</v>
      </c>
      <c r="G466" s="87" t="s">
        <v>62</v>
      </c>
      <c r="H466" s="90" t="s">
        <v>2208</v>
      </c>
      <c r="I466" s="90" t="s">
        <v>64</v>
      </c>
      <c r="J466" s="87" t="s">
        <v>70</v>
      </c>
      <c r="K466" s="87"/>
      <c r="L466" s="90" t="s">
        <v>2209</v>
      </c>
      <c r="M466" s="91" t="s">
        <v>72</v>
      </c>
      <c r="N466" s="90" t="s">
        <v>72</v>
      </c>
      <c r="O466" s="90" t="str">
        <f t="shared" si="47"/>
        <v>Distrital</v>
      </c>
      <c r="P466" s="87" t="s">
        <v>73</v>
      </c>
      <c r="Q466" s="87"/>
      <c r="R466" s="87"/>
      <c r="S466" s="87"/>
      <c r="T466" s="87"/>
      <c r="U466" s="87"/>
      <c r="V466" s="90" t="str">
        <f t="shared" si="48"/>
        <v>Distrital</v>
      </c>
      <c r="W466" s="87" t="s">
        <v>73</v>
      </c>
      <c r="X466" s="87"/>
      <c r="Y466" s="87"/>
      <c r="Z466" s="87"/>
      <c r="AA466" s="87"/>
      <c r="AB466" s="87"/>
      <c r="AC466" s="90" t="str">
        <f t="shared" si="49"/>
        <v>Distrital</v>
      </c>
      <c r="AD466" s="87" t="s">
        <v>73</v>
      </c>
      <c r="AE466" s="87"/>
      <c r="AF466" s="87"/>
      <c r="AG466" s="87"/>
      <c r="AH466" s="87"/>
      <c r="AI466" s="87"/>
      <c r="AJ466" s="87"/>
      <c r="AK466" s="87"/>
      <c r="AL466" s="87"/>
      <c r="AM466" s="87"/>
      <c r="AN466" s="90" t="s">
        <v>2210</v>
      </c>
      <c r="AO466" s="90" t="s">
        <v>2211</v>
      </c>
      <c r="AP466" s="82"/>
      <c r="AQ466" s="87" t="s">
        <v>59</v>
      </c>
      <c r="AR466" s="87" t="s">
        <v>80</v>
      </c>
      <c r="AS466" s="82"/>
      <c r="AT466" s="87">
        <v>30</v>
      </c>
      <c r="AU466" s="87">
        <v>3</v>
      </c>
      <c r="AV466" s="87">
        <f t="shared" si="46"/>
        <v>33</v>
      </c>
      <c r="AW466" s="87" t="str">
        <f t="shared" si="45"/>
        <v>No Aplica</v>
      </c>
      <c r="AX466" s="87" t="s">
        <v>78</v>
      </c>
      <c r="AY466" s="87"/>
      <c r="AZ466" s="87"/>
      <c r="BA466" s="91" t="s">
        <v>2212</v>
      </c>
      <c r="BB466" s="84"/>
      <c r="BC466" s="85"/>
      <c r="BD466" s="85"/>
    </row>
    <row r="467" spans="1:56" s="86" customFormat="1" ht="46.5" customHeight="1">
      <c r="A467" s="87">
        <v>462</v>
      </c>
      <c r="B467" s="79" t="s">
        <v>819</v>
      </c>
      <c r="C467" s="88">
        <v>45433</v>
      </c>
      <c r="D467" s="89">
        <v>0.375</v>
      </c>
      <c r="E467" s="87" t="s">
        <v>93</v>
      </c>
      <c r="F467" s="87" t="s">
        <v>321</v>
      </c>
      <c r="G467" s="87" t="s">
        <v>62</v>
      </c>
      <c r="H467" s="90" t="s">
        <v>2213</v>
      </c>
      <c r="I467" s="90" t="s">
        <v>64</v>
      </c>
      <c r="J467" s="87" t="s">
        <v>70</v>
      </c>
      <c r="K467" s="87" t="s">
        <v>1810</v>
      </c>
      <c r="L467" s="90" t="s">
        <v>2214</v>
      </c>
      <c r="M467" s="91">
        <v>3156499699</v>
      </c>
      <c r="N467" s="90" t="s">
        <v>2215</v>
      </c>
      <c r="O467" s="90" t="str">
        <f t="shared" si="47"/>
        <v>Puente Aranda</v>
      </c>
      <c r="P467" s="87" t="s">
        <v>823</v>
      </c>
      <c r="Q467" s="87"/>
      <c r="R467" s="87"/>
      <c r="S467" s="87"/>
      <c r="T467" s="87"/>
      <c r="U467" s="87"/>
      <c r="V467" s="90" t="str">
        <f t="shared" si="48"/>
        <v>Centro Ampliado</v>
      </c>
      <c r="W467" s="87" t="s">
        <v>415</v>
      </c>
      <c r="X467" s="87"/>
      <c r="Y467" s="87"/>
      <c r="Z467" s="87"/>
      <c r="AA467" s="87"/>
      <c r="AB467" s="87"/>
      <c r="AC467" s="90" t="str">
        <f t="shared" si="49"/>
        <v>Puente Aranda</v>
      </c>
      <c r="AD467" s="87" t="s">
        <v>823</v>
      </c>
      <c r="AE467" s="87"/>
      <c r="AF467" s="87"/>
      <c r="AG467" s="87"/>
      <c r="AH467" s="87"/>
      <c r="AI467" s="87"/>
      <c r="AJ467" s="87"/>
      <c r="AK467" s="87"/>
      <c r="AL467" s="87"/>
      <c r="AM467" s="87"/>
      <c r="AN467" s="90" t="s">
        <v>160</v>
      </c>
      <c r="AO467" s="90" t="s">
        <v>2216</v>
      </c>
      <c r="AP467" s="82"/>
      <c r="AQ467" s="87" t="s">
        <v>59</v>
      </c>
      <c r="AR467" s="87" t="s">
        <v>80</v>
      </c>
      <c r="AS467" s="82"/>
      <c r="AT467" s="87">
        <v>21</v>
      </c>
      <c r="AU467" s="87">
        <v>1</v>
      </c>
      <c r="AV467" s="87">
        <f t="shared" si="46"/>
        <v>22</v>
      </c>
      <c r="AW467" s="87" t="str">
        <f t="shared" si="45"/>
        <v>No Aplica</v>
      </c>
      <c r="AX467" s="87" t="s">
        <v>78</v>
      </c>
      <c r="AY467" s="87"/>
      <c r="AZ467" s="87"/>
      <c r="BA467" s="91" t="s">
        <v>2217</v>
      </c>
      <c r="BB467" s="84"/>
      <c r="BC467" s="85"/>
      <c r="BD467" s="85"/>
    </row>
    <row r="468" spans="1:56" s="86" customFormat="1" ht="46.5" customHeight="1">
      <c r="A468" s="78">
        <v>463</v>
      </c>
      <c r="B468" s="79" t="s">
        <v>2218</v>
      </c>
      <c r="C468" s="88">
        <v>45433</v>
      </c>
      <c r="D468" s="89">
        <v>0.41666666666666669</v>
      </c>
      <c r="E468" s="87" t="s">
        <v>58</v>
      </c>
      <c r="F468" s="87" t="s">
        <v>135</v>
      </c>
      <c r="G468" s="87" t="s">
        <v>95</v>
      </c>
      <c r="H468" s="90" t="s">
        <v>2219</v>
      </c>
      <c r="I468" s="90" t="s">
        <v>64</v>
      </c>
      <c r="J468" s="87" t="s">
        <v>70</v>
      </c>
      <c r="K468" s="87" t="s">
        <v>71</v>
      </c>
      <c r="L468" s="90" t="s">
        <v>2220</v>
      </c>
      <c r="M468" s="91">
        <v>3177001630</v>
      </c>
      <c r="N468" s="90" t="s">
        <v>2221</v>
      </c>
      <c r="O468" s="90" t="str">
        <f t="shared" si="47"/>
        <v>Distrital</v>
      </c>
      <c r="P468" s="87" t="s">
        <v>73</v>
      </c>
      <c r="Q468" s="87"/>
      <c r="R468" s="87"/>
      <c r="S468" s="87"/>
      <c r="T468" s="87"/>
      <c r="U468" s="87"/>
      <c r="V468" s="90" t="str">
        <f t="shared" si="48"/>
        <v>Distrital</v>
      </c>
      <c r="W468" s="87" t="s">
        <v>73</v>
      </c>
      <c r="X468" s="87"/>
      <c r="Y468" s="87"/>
      <c r="Z468" s="87"/>
      <c r="AA468" s="87"/>
      <c r="AB468" s="87"/>
      <c r="AC468" s="90" t="str">
        <f t="shared" si="49"/>
        <v>Distrital</v>
      </c>
      <c r="AD468" s="87" t="s">
        <v>73</v>
      </c>
      <c r="AE468" s="87"/>
      <c r="AF468" s="87"/>
      <c r="AG468" s="87"/>
      <c r="AH468" s="87"/>
      <c r="AI468" s="87"/>
      <c r="AJ468" s="87"/>
      <c r="AK468" s="87"/>
      <c r="AL468" s="87"/>
      <c r="AM468" s="87"/>
      <c r="AN468" s="90" t="s">
        <v>2222</v>
      </c>
      <c r="AO468" s="92" t="s">
        <v>2223</v>
      </c>
      <c r="AP468" s="82"/>
      <c r="AQ468" s="87" t="s">
        <v>59</v>
      </c>
      <c r="AR468" s="87" t="s">
        <v>80</v>
      </c>
      <c r="AS468" s="82"/>
      <c r="AT468" s="87">
        <v>0</v>
      </c>
      <c r="AU468" s="87">
        <v>7</v>
      </c>
      <c r="AV468" s="87">
        <f t="shared" si="46"/>
        <v>7</v>
      </c>
      <c r="AW468" s="87" t="str">
        <f t="shared" si="45"/>
        <v>No Aplica</v>
      </c>
      <c r="AX468" s="87" t="s">
        <v>78</v>
      </c>
      <c r="AY468" s="87"/>
      <c r="AZ468" s="87"/>
      <c r="BA468" s="91" t="s">
        <v>2224</v>
      </c>
      <c r="BB468" s="84"/>
      <c r="BC468" s="85"/>
      <c r="BD468" s="85"/>
    </row>
    <row r="469" spans="1:56" s="86" customFormat="1" ht="46.5" customHeight="1">
      <c r="A469" s="87">
        <v>464</v>
      </c>
      <c r="B469" s="79" t="s">
        <v>1903</v>
      </c>
      <c r="C469" s="88">
        <v>45433</v>
      </c>
      <c r="D469" s="89">
        <v>0.375</v>
      </c>
      <c r="E469" s="87" t="s">
        <v>58</v>
      </c>
      <c r="F469" s="87" t="s">
        <v>61</v>
      </c>
      <c r="G469" s="87" t="s">
        <v>62</v>
      </c>
      <c r="H469" s="90" t="s">
        <v>1904</v>
      </c>
      <c r="I469" s="90" t="s">
        <v>172</v>
      </c>
      <c r="J469" s="87" t="s">
        <v>70</v>
      </c>
      <c r="K469" s="87" t="s">
        <v>300</v>
      </c>
      <c r="L469" s="90" t="s">
        <v>72</v>
      </c>
      <c r="M469" s="91" t="s">
        <v>72</v>
      </c>
      <c r="N469" s="90" t="s">
        <v>72</v>
      </c>
      <c r="O469" s="90" t="str">
        <f t="shared" si="47"/>
        <v>Distrital</v>
      </c>
      <c r="P469" s="87" t="s">
        <v>73</v>
      </c>
      <c r="Q469" s="87"/>
      <c r="R469" s="87"/>
      <c r="S469" s="87"/>
      <c r="T469" s="87"/>
      <c r="U469" s="87"/>
      <c r="V469" s="90" t="str">
        <f t="shared" si="48"/>
        <v>Distrital</v>
      </c>
      <c r="W469" s="87" t="s">
        <v>73</v>
      </c>
      <c r="X469" s="87"/>
      <c r="Y469" s="87"/>
      <c r="Z469" s="87"/>
      <c r="AA469" s="87"/>
      <c r="AB469" s="87"/>
      <c r="AC469" s="90" t="str">
        <f t="shared" si="49"/>
        <v>Distrital</v>
      </c>
      <c r="AD469" s="87" t="s">
        <v>73</v>
      </c>
      <c r="AE469" s="87"/>
      <c r="AF469" s="87"/>
      <c r="AG469" s="87"/>
      <c r="AH469" s="87"/>
      <c r="AI469" s="87"/>
      <c r="AJ469" s="87"/>
      <c r="AK469" s="87"/>
      <c r="AL469" s="87"/>
      <c r="AM469" s="87"/>
      <c r="AN469" s="90" t="s">
        <v>1739</v>
      </c>
      <c r="AO469" s="90" t="s">
        <v>1740</v>
      </c>
      <c r="AP469" s="82"/>
      <c r="AQ469" s="87" t="s">
        <v>60</v>
      </c>
      <c r="AR469" s="87" t="s">
        <v>1741</v>
      </c>
      <c r="AS469" s="82"/>
      <c r="AT469" s="87">
        <v>224</v>
      </c>
      <c r="AU469" s="87">
        <v>8</v>
      </c>
      <c r="AV469" s="87">
        <f t="shared" si="46"/>
        <v>232</v>
      </c>
      <c r="AW469" s="87" t="str">
        <f t="shared" si="45"/>
        <v>No Aplica</v>
      </c>
      <c r="AX469" s="87" t="s">
        <v>78</v>
      </c>
      <c r="AY469" s="87"/>
      <c r="AZ469" s="87"/>
      <c r="BA469" s="91" t="s">
        <v>2225</v>
      </c>
      <c r="BB469" s="84"/>
      <c r="BC469" s="85"/>
      <c r="BD469" s="85"/>
    </row>
    <row r="470" spans="1:56" s="86" customFormat="1" ht="46.5" customHeight="1">
      <c r="A470" s="78">
        <v>465</v>
      </c>
      <c r="B470" s="79" t="s">
        <v>2226</v>
      </c>
      <c r="C470" s="88">
        <v>45433</v>
      </c>
      <c r="D470" s="89">
        <v>0.64583333333333337</v>
      </c>
      <c r="E470" s="87" t="s">
        <v>58</v>
      </c>
      <c r="F470" s="87" t="s">
        <v>2227</v>
      </c>
      <c r="G470" s="87" t="s">
        <v>62</v>
      </c>
      <c r="H470" s="90" t="s">
        <v>2228</v>
      </c>
      <c r="I470" s="90" t="s">
        <v>172</v>
      </c>
      <c r="J470" s="87" t="s">
        <v>173</v>
      </c>
      <c r="K470" s="87"/>
      <c r="L470" s="90" t="s">
        <v>2229</v>
      </c>
      <c r="M470" s="91">
        <v>3105663416</v>
      </c>
      <c r="N470" s="90" t="s">
        <v>72</v>
      </c>
      <c r="O470" s="90" t="str">
        <f t="shared" si="47"/>
        <v>Teusaquillo</v>
      </c>
      <c r="P470" s="87" t="s">
        <v>665</v>
      </c>
      <c r="Q470" s="87"/>
      <c r="R470" s="87"/>
      <c r="S470" s="87"/>
      <c r="T470" s="87"/>
      <c r="U470" s="87"/>
      <c r="V470" s="90" t="str">
        <f t="shared" si="48"/>
        <v>Centro Ampliado</v>
      </c>
      <c r="W470" s="87" t="s">
        <v>415</v>
      </c>
      <c r="X470" s="87"/>
      <c r="Y470" s="87"/>
      <c r="Z470" s="87"/>
      <c r="AA470" s="87"/>
      <c r="AB470" s="87"/>
      <c r="AC470" s="90" t="str">
        <f t="shared" si="49"/>
        <v>Teusaquillo</v>
      </c>
      <c r="AD470" s="87" t="s">
        <v>665</v>
      </c>
      <c r="AE470" s="87"/>
      <c r="AF470" s="87"/>
      <c r="AG470" s="87"/>
      <c r="AH470" s="87"/>
      <c r="AI470" s="87"/>
      <c r="AJ470" s="87"/>
      <c r="AK470" s="87"/>
      <c r="AL470" s="87"/>
      <c r="AM470" s="87"/>
      <c r="AN470" s="90" t="s">
        <v>2230</v>
      </c>
      <c r="AO470" s="90" t="s">
        <v>2231</v>
      </c>
      <c r="AP470" s="82"/>
      <c r="AQ470" s="87" t="s">
        <v>59</v>
      </c>
      <c r="AR470" s="87" t="s">
        <v>80</v>
      </c>
      <c r="AS470" s="82"/>
      <c r="AT470" s="87">
        <v>40</v>
      </c>
      <c r="AU470" s="87">
        <v>11</v>
      </c>
      <c r="AV470" s="87">
        <f t="shared" si="46"/>
        <v>51</v>
      </c>
      <c r="AW470" s="87" t="str">
        <f t="shared" si="45"/>
        <v>Accesibilidad Universal, Horarios Acordes, Contenidos adaptados</v>
      </c>
      <c r="AX470" s="87" t="s">
        <v>246</v>
      </c>
      <c r="AY470" s="87" t="s">
        <v>213</v>
      </c>
      <c r="AZ470" s="87" t="s">
        <v>212</v>
      </c>
      <c r="BA470" s="91" t="s">
        <v>2232</v>
      </c>
      <c r="BB470" s="84"/>
      <c r="BC470" s="85"/>
      <c r="BD470" s="85"/>
    </row>
    <row r="471" spans="1:56" s="86" customFormat="1" ht="46.5" customHeight="1">
      <c r="A471" s="87">
        <v>466</v>
      </c>
      <c r="B471" s="79" t="s">
        <v>2027</v>
      </c>
      <c r="C471" s="88">
        <v>45434</v>
      </c>
      <c r="D471" s="89">
        <v>0.375</v>
      </c>
      <c r="E471" s="87" t="s">
        <v>58</v>
      </c>
      <c r="F471" s="87" t="s">
        <v>61</v>
      </c>
      <c r="G471" s="87" t="s">
        <v>62</v>
      </c>
      <c r="H471" s="90" t="s">
        <v>1904</v>
      </c>
      <c r="I471" s="90" t="s">
        <v>172</v>
      </c>
      <c r="J471" s="87" t="s">
        <v>70</v>
      </c>
      <c r="K471" s="87" t="s">
        <v>300</v>
      </c>
      <c r="L471" s="90" t="s">
        <v>72</v>
      </c>
      <c r="M471" s="91" t="s">
        <v>72</v>
      </c>
      <c r="N471" s="90" t="s">
        <v>72</v>
      </c>
      <c r="O471" s="90" t="str">
        <f t="shared" si="47"/>
        <v>Distrital</v>
      </c>
      <c r="P471" s="87" t="s">
        <v>73</v>
      </c>
      <c r="Q471" s="87"/>
      <c r="R471" s="87"/>
      <c r="S471" s="87"/>
      <c r="T471" s="87"/>
      <c r="U471" s="87"/>
      <c r="V471" s="90" t="str">
        <f t="shared" si="48"/>
        <v>Distrital</v>
      </c>
      <c r="W471" s="87" t="s">
        <v>73</v>
      </c>
      <c r="X471" s="87"/>
      <c r="Y471" s="87"/>
      <c r="Z471" s="87"/>
      <c r="AA471" s="87"/>
      <c r="AB471" s="87"/>
      <c r="AC471" s="90" t="str">
        <f t="shared" si="49"/>
        <v>Distrital</v>
      </c>
      <c r="AD471" s="87" t="s">
        <v>73</v>
      </c>
      <c r="AE471" s="87"/>
      <c r="AF471" s="87"/>
      <c r="AG471" s="87"/>
      <c r="AH471" s="87"/>
      <c r="AI471" s="87"/>
      <c r="AJ471" s="87"/>
      <c r="AK471" s="87"/>
      <c r="AL471" s="87"/>
      <c r="AM471" s="87"/>
      <c r="AN471" s="90" t="s">
        <v>1739</v>
      </c>
      <c r="AO471" s="90" t="s">
        <v>1740</v>
      </c>
      <c r="AP471" s="82"/>
      <c r="AQ471" s="87" t="s">
        <v>60</v>
      </c>
      <c r="AR471" s="87" t="s">
        <v>1741</v>
      </c>
      <c r="AS471" s="82"/>
      <c r="AT471" s="87">
        <v>50</v>
      </c>
      <c r="AU471" s="87">
        <v>7</v>
      </c>
      <c r="AV471" s="87">
        <f t="shared" si="46"/>
        <v>57</v>
      </c>
      <c r="AW471" s="87" t="str">
        <f t="shared" si="45"/>
        <v>No Aplica</v>
      </c>
      <c r="AX471" s="87" t="s">
        <v>78</v>
      </c>
      <c r="AY471" s="87"/>
      <c r="AZ471" s="87"/>
      <c r="BA471" s="91" t="s">
        <v>2233</v>
      </c>
      <c r="BB471" s="84"/>
      <c r="BC471" s="85"/>
      <c r="BD471" s="85"/>
    </row>
    <row r="472" spans="1:56" s="86" customFormat="1" ht="46.5" customHeight="1">
      <c r="A472" s="78">
        <v>467</v>
      </c>
      <c r="B472" s="79" t="s">
        <v>2234</v>
      </c>
      <c r="C472" s="88">
        <v>45434</v>
      </c>
      <c r="D472" s="89">
        <v>0.41666666666666669</v>
      </c>
      <c r="E472" s="87" t="s">
        <v>58</v>
      </c>
      <c r="F472" s="87" t="s">
        <v>2121</v>
      </c>
      <c r="G472" s="87" t="s">
        <v>62</v>
      </c>
      <c r="H472" s="90" t="s">
        <v>2235</v>
      </c>
      <c r="I472" s="90" t="s">
        <v>188</v>
      </c>
      <c r="J472" s="87" t="s">
        <v>70</v>
      </c>
      <c r="K472" s="87" t="s">
        <v>209</v>
      </c>
      <c r="L472" s="90" t="s">
        <v>300</v>
      </c>
      <c r="M472" s="91" t="s">
        <v>72</v>
      </c>
      <c r="N472" s="90" t="s">
        <v>72</v>
      </c>
      <c r="O472" s="90" t="str">
        <f t="shared" si="47"/>
        <v>Distrital</v>
      </c>
      <c r="P472" s="87" t="s">
        <v>73</v>
      </c>
      <c r="Q472" s="87"/>
      <c r="R472" s="87"/>
      <c r="S472" s="87"/>
      <c r="T472" s="87"/>
      <c r="U472" s="87"/>
      <c r="V472" s="90" t="str">
        <f t="shared" si="48"/>
        <v>Distrital</v>
      </c>
      <c r="W472" s="87" t="s">
        <v>73</v>
      </c>
      <c r="X472" s="87"/>
      <c r="Y472" s="87"/>
      <c r="Z472" s="87"/>
      <c r="AA472" s="87"/>
      <c r="AB472" s="87"/>
      <c r="AC472" s="90" t="str">
        <f t="shared" si="49"/>
        <v>Distrital</v>
      </c>
      <c r="AD472" s="87" t="s">
        <v>73</v>
      </c>
      <c r="AE472" s="87"/>
      <c r="AF472" s="87"/>
      <c r="AG472" s="87"/>
      <c r="AH472" s="87"/>
      <c r="AI472" s="87"/>
      <c r="AJ472" s="87"/>
      <c r="AK472" s="87"/>
      <c r="AL472" s="87"/>
      <c r="AM472" s="87"/>
      <c r="AN472" s="90" t="s">
        <v>160</v>
      </c>
      <c r="AO472" s="90" t="s">
        <v>1740</v>
      </c>
      <c r="AP472" s="82"/>
      <c r="AQ472" s="87" t="s">
        <v>59</v>
      </c>
      <c r="AR472" s="87" t="s">
        <v>80</v>
      </c>
      <c r="AS472" s="82"/>
      <c r="AT472" s="87">
        <v>2</v>
      </c>
      <c r="AU472" s="87">
        <v>3</v>
      </c>
      <c r="AV472" s="87">
        <f t="shared" si="46"/>
        <v>5</v>
      </c>
      <c r="AW472" s="87" t="str">
        <f t="shared" si="45"/>
        <v>No Aplica</v>
      </c>
      <c r="AX472" s="87" t="s">
        <v>78</v>
      </c>
      <c r="AY472" s="87"/>
      <c r="AZ472" s="87"/>
      <c r="BA472" s="91" t="s">
        <v>2236</v>
      </c>
      <c r="BB472" s="84"/>
      <c r="BC472" s="85"/>
      <c r="BD472" s="85"/>
    </row>
    <row r="473" spans="1:56" s="86" customFormat="1" ht="46.5" customHeight="1">
      <c r="A473" s="87">
        <v>468</v>
      </c>
      <c r="B473" s="79" t="s">
        <v>2237</v>
      </c>
      <c r="C473" s="88">
        <v>45434</v>
      </c>
      <c r="D473" s="89">
        <v>0.58333333333333337</v>
      </c>
      <c r="E473" s="87" t="s">
        <v>58</v>
      </c>
      <c r="F473" s="87" t="s">
        <v>2121</v>
      </c>
      <c r="G473" s="87" t="s">
        <v>95</v>
      </c>
      <c r="H473" s="90" t="s">
        <v>2238</v>
      </c>
      <c r="I473" s="90" t="s">
        <v>64</v>
      </c>
      <c r="J473" s="87" t="s">
        <v>70</v>
      </c>
      <c r="K473" s="87" t="s">
        <v>71</v>
      </c>
      <c r="L473" s="90" t="s">
        <v>2239</v>
      </c>
      <c r="M473" s="91" t="s">
        <v>2240</v>
      </c>
      <c r="N473" s="90" t="s">
        <v>2241</v>
      </c>
      <c r="O473" s="90" t="str">
        <f t="shared" si="47"/>
        <v>Distrital</v>
      </c>
      <c r="P473" s="87" t="s">
        <v>73</v>
      </c>
      <c r="Q473" s="87"/>
      <c r="R473" s="87"/>
      <c r="S473" s="87"/>
      <c r="T473" s="87"/>
      <c r="U473" s="87"/>
      <c r="V473" s="90" t="str">
        <f t="shared" si="48"/>
        <v>Distrital</v>
      </c>
      <c r="W473" s="87" t="s">
        <v>73</v>
      </c>
      <c r="X473" s="87"/>
      <c r="Y473" s="87"/>
      <c r="Z473" s="87"/>
      <c r="AA473" s="87"/>
      <c r="AB473" s="87"/>
      <c r="AC473" s="90" t="str">
        <f t="shared" si="49"/>
        <v>Distrital</v>
      </c>
      <c r="AD473" s="87" t="s">
        <v>73</v>
      </c>
      <c r="AE473" s="87"/>
      <c r="AF473" s="87"/>
      <c r="AG473" s="87"/>
      <c r="AH473" s="87"/>
      <c r="AI473" s="87"/>
      <c r="AJ473" s="87"/>
      <c r="AK473" s="87"/>
      <c r="AL473" s="87"/>
      <c r="AM473" s="87"/>
      <c r="AN473" s="90" t="s">
        <v>160</v>
      </c>
      <c r="AO473" s="92" t="s">
        <v>2242</v>
      </c>
      <c r="AP473" s="82"/>
      <c r="AQ473" s="87" t="s">
        <v>59</v>
      </c>
      <c r="AR473" s="87" t="s">
        <v>80</v>
      </c>
      <c r="AS473" s="82"/>
      <c r="AT473" s="87">
        <v>38</v>
      </c>
      <c r="AU473" s="87">
        <v>1</v>
      </c>
      <c r="AV473" s="87">
        <f t="shared" si="46"/>
        <v>39</v>
      </c>
      <c r="AW473" s="87" t="str">
        <f t="shared" si="45"/>
        <v>No Aplica</v>
      </c>
      <c r="AX473" s="87" t="s">
        <v>78</v>
      </c>
      <c r="AY473" s="87"/>
      <c r="AZ473" s="87"/>
      <c r="BA473" s="91" t="s">
        <v>2243</v>
      </c>
      <c r="BB473" s="84"/>
      <c r="BC473" s="85"/>
      <c r="BD473" s="85"/>
    </row>
    <row r="474" spans="1:56" s="86" customFormat="1" ht="46.5" customHeight="1">
      <c r="A474" s="78">
        <v>469</v>
      </c>
      <c r="B474" s="79" t="s">
        <v>2030</v>
      </c>
      <c r="C474" s="88">
        <v>45434</v>
      </c>
      <c r="D474" s="89">
        <v>0.65972222222222221</v>
      </c>
      <c r="E474" s="87" t="s">
        <v>58</v>
      </c>
      <c r="F474" s="87" t="s">
        <v>61</v>
      </c>
      <c r="G474" s="87" t="s">
        <v>62</v>
      </c>
      <c r="H474" s="90" t="s">
        <v>1904</v>
      </c>
      <c r="I474" s="90" t="s">
        <v>172</v>
      </c>
      <c r="J474" s="87" t="s">
        <v>70</v>
      </c>
      <c r="K474" s="87" t="s">
        <v>300</v>
      </c>
      <c r="L474" s="90" t="s">
        <v>72</v>
      </c>
      <c r="M474" s="91" t="s">
        <v>72</v>
      </c>
      <c r="N474" s="90" t="s">
        <v>72</v>
      </c>
      <c r="O474" s="90" t="str">
        <f t="shared" si="47"/>
        <v>Distrital</v>
      </c>
      <c r="P474" s="87" t="s">
        <v>73</v>
      </c>
      <c r="Q474" s="87"/>
      <c r="R474" s="87"/>
      <c r="S474" s="87"/>
      <c r="T474" s="87"/>
      <c r="U474" s="87"/>
      <c r="V474" s="90" t="str">
        <f t="shared" si="48"/>
        <v>Distrital</v>
      </c>
      <c r="W474" s="87" t="s">
        <v>73</v>
      </c>
      <c r="X474" s="87"/>
      <c r="Y474" s="87"/>
      <c r="Z474" s="87"/>
      <c r="AA474" s="87"/>
      <c r="AB474" s="87"/>
      <c r="AC474" s="90" t="str">
        <f t="shared" si="49"/>
        <v>Distrital</v>
      </c>
      <c r="AD474" s="87" t="s">
        <v>73</v>
      </c>
      <c r="AE474" s="87"/>
      <c r="AF474" s="87"/>
      <c r="AG474" s="87"/>
      <c r="AH474" s="87"/>
      <c r="AI474" s="87"/>
      <c r="AJ474" s="87"/>
      <c r="AK474" s="87"/>
      <c r="AL474" s="87"/>
      <c r="AM474" s="87"/>
      <c r="AN474" s="90" t="s">
        <v>1739</v>
      </c>
      <c r="AO474" s="90" t="s">
        <v>1740</v>
      </c>
      <c r="AP474" s="82"/>
      <c r="AQ474" s="87" t="s">
        <v>60</v>
      </c>
      <c r="AR474" s="87" t="s">
        <v>1741</v>
      </c>
      <c r="AS474" s="82"/>
      <c r="AT474" s="87">
        <v>229</v>
      </c>
      <c r="AU474" s="87">
        <v>8</v>
      </c>
      <c r="AV474" s="87">
        <f t="shared" si="46"/>
        <v>237</v>
      </c>
      <c r="AW474" s="87" t="str">
        <f t="shared" ref="AW474:AW538" si="50">_xlfn.TEXTJOIN(", ",TRUE,$AX474:$AZ474)</f>
        <v>No Aplica</v>
      </c>
      <c r="AX474" s="87" t="s">
        <v>78</v>
      </c>
      <c r="AY474" s="87"/>
      <c r="AZ474" s="87"/>
      <c r="BA474" s="91" t="s">
        <v>2233</v>
      </c>
      <c r="BB474" s="84"/>
      <c r="BC474" s="85"/>
      <c r="BD474" s="85"/>
    </row>
    <row r="475" spans="1:56" s="86" customFormat="1" ht="46.5" customHeight="1">
      <c r="A475" s="87">
        <v>470</v>
      </c>
      <c r="B475" s="79" t="s">
        <v>2027</v>
      </c>
      <c r="C475" s="88">
        <v>45435</v>
      </c>
      <c r="D475" s="89">
        <v>0.375</v>
      </c>
      <c r="E475" s="87" t="s">
        <v>58</v>
      </c>
      <c r="F475" s="87" t="s">
        <v>61</v>
      </c>
      <c r="G475" s="87" t="s">
        <v>62</v>
      </c>
      <c r="H475" s="90" t="s">
        <v>1904</v>
      </c>
      <c r="I475" s="90" t="s">
        <v>172</v>
      </c>
      <c r="J475" s="87" t="s">
        <v>70</v>
      </c>
      <c r="K475" s="87" t="s">
        <v>300</v>
      </c>
      <c r="L475" s="90" t="s">
        <v>72</v>
      </c>
      <c r="M475" s="91" t="s">
        <v>72</v>
      </c>
      <c r="N475" s="90" t="s">
        <v>72</v>
      </c>
      <c r="O475" s="90" t="str">
        <f t="shared" si="47"/>
        <v>Distrital</v>
      </c>
      <c r="P475" s="87" t="s">
        <v>73</v>
      </c>
      <c r="Q475" s="87"/>
      <c r="R475" s="87"/>
      <c r="S475" s="87"/>
      <c r="T475" s="87"/>
      <c r="U475" s="87"/>
      <c r="V475" s="90" t="str">
        <f t="shared" si="48"/>
        <v>Distrital</v>
      </c>
      <c r="W475" s="87" t="s">
        <v>73</v>
      </c>
      <c r="X475" s="87"/>
      <c r="Y475" s="87"/>
      <c r="Z475" s="87"/>
      <c r="AA475" s="87"/>
      <c r="AB475" s="87"/>
      <c r="AC475" s="90" t="str">
        <f t="shared" si="49"/>
        <v>Distrital</v>
      </c>
      <c r="AD475" s="87" t="s">
        <v>73</v>
      </c>
      <c r="AE475" s="87"/>
      <c r="AF475" s="87"/>
      <c r="AG475" s="87"/>
      <c r="AH475" s="87"/>
      <c r="AI475" s="87"/>
      <c r="AJ475" s="87"/>
      <c r="AK475" s="87"/>
      <c r="AL475" s="87"/>
      <c r="AM475" s="87"/>
      <c r="AN475" s="90" t="s">
        <v>1739</v>
      </c>
      <c r="AO475" s="90" t="s">
        <v>1740</v>
      </c>
      <c r="AP475" s="82"/>
      <c r="AQ475" s="87" t="s">
        <v>60</v>
      </c>
      <c r="AR475" s="87" t="s">
        <v>1741</v>
      </c>
      <c r="AS475" s="82"/>
      <c r="AT475" s="87">
        <v>230</v>
      </c>
      <c r="AU475" s="87">
        <v>7</v>
      </c>
      <c r="AV475" s="87">
        <f t="shared" si="46"/>
        <v>237</v>
      </c>
      <c r="AW475" s="87" t="str">
        <f t="shared" si="50"/>
        <v>Accesibilidad Universal, Horarios Acordes</v>
      </c>
      <c r="AX475" s="87" t="s">
        <v>246</v>
      </c>
      <c r="AY475" s="87" t="s">
        <v>213</v>
      </c>
      <c r="AZ475" s="87"/>
      <c r="BA475" s="91" t="s">
        <v>2244</v>
      </c>
      <c r="BB475" s="84"/>
      <c r="BC475" s="85"/>
      <c r="BD475" s="85"/>
    </row>
    <row r="476" spans="1:56" s="86" customFormat="1" ht="46.5" customHeight="1">
      <c r="A476" s="78">
        <v>471</v>
      </c>
      <c r="B476" s="79" t="s">
        <v>2245</v>
      </c>
      <c r="C476" s="88">
        <v>45435</v>
      </c>
      <c r="D476" s="89">
        <v>0.41666666666666669</v>
      </c>
      <c r="E476" s="87" t="s">
        <v>58</v>
      </c>
      <c r="F476" s="87" t="s">
        <v>2121</v>
      </c>
      <c r="G476" s="87" t="s">
        <v>62</v>
      </c>
      <c r="H476" s="90" t="s">
        <v>2246</v>
      </c>
      <c r="I476" s="90" t="s">
        <v>188</v>
      </c>
      <c r="J476" s="87" t="s">
        <v>173</v>
      </c>
      <c r="K476" s="87"/>
      <c r="L476" s="90" t="s">
        <v>2247</v>
      </c>
      <c r="M476" s="91" t="s">
        <v>72</v>
      </c>
      <c r="N476" s="90" t="s">
        <v>72</v>
      </c>
      <c r="O476" s="90" t="str">
        <f t="shared" si="47"/>
        <v>Distrital</v>
      </c>
      <c r="P476" s="87" t="s">
        <v>73</v>
      </c>
      <c r="Q476" s="87"/>
      <c r="R476" s="87"/>
      <c r="S476" s="87"/>
      <c r="T476" s="87"/>
      <c r="U476" s="87"/>
      <c r="V476" s="90" t="str">
        <f t="shared" si="48"/>
        <v>Distrital</v>
      </c>
      <c r="W476" s="87" t="s">
        <v>73</v>
      </c>
      <c r="X476" s="87"/>
      <c r="Y476" s="87"/>
      <c r="Z476" s="87"/>
      <c r="AA476" s="87"/>
      <c r="AB476" s="87"/>
      <c r="AC476" s="90" t="str">
        <f t="shared" si="49"/>
        <v>Distrital</v>
      </c>
      <c r="AD476" s="87" t="s">
        <v>73</v>
      </c>
      <c r="AE476" s="87"/>
      <c r="AF476" s="87"/>
      <c r="AG476" s="87"/>
      <c r="AH476" s="87"/>
      <c r="AI476" s="87"/>
      <c r="AJ476" s="87"/>
      <c r="AK476" s="87"/>
      <c r="AL476" s="87"/>
      <c r="AM476" s="87"/>
      <c r="AN476" s="90" t="s">
        <v>160</v>
      </c>
      <c r="AO476" s="90" t="s">
        <v>2248</v>
      </c>
      <c r="AP476" s="82"/>
      <c r="AQ476" s="87" t="s">
        <v>59</v>
      </c>
      <c r="AR476" s="87" t="s">
        <v>80</v>
      </c>
      <c r="AS476" s="82"/>
      <c r="AT476" s="87">
        <v>30</v>
      </c>
      <c r="AU476" s="87">
        <v>1</v>
      </c>
      <c r="AV476" s="87">
        <f t="shared" si="46"/>
        <v>31</v>
      </c>
      <c r="AW476" s="87" t="str">
        <f t="shared" si="50"/>
        <v>No Aplica</v>
      </c>
      <c r="AX476" s="87" t="s">
        <v>78</v>
      </c>
      <c r="AY476" s="87"/>
      <c r="AZ476" s="87"/>
      <c r="BA476" s="91" t="s">
        <v>2249</v>
      </c>
      <c r="BB476" s="84"/>
      <c r="BC476" s="85"/>
      <c r="BD476" s="85"/>
    </row>
    <row r="477" spans="1:56" s="86" customFormat="1" ht="46.5" customHeight="1">
      <c r="A477" s="87">
        <v>472</v>
      </c>
      <c r="B477" s="79" t="s">
        <v>2250</v>
      </c>
      <c r="C477" s="88">
        <v>45435</v>
      </c>
      <c r="D477" s="89">
        <v>0.4375</v>
      </c>
      <c r="E477" s="87" t="s">
        <v>58</v>
      </c>
      <c r="F477" s="87" t="s">
        <v>135</v>
      </c>
      <c r="G477" s="87" t="s">
        <v>62</v>
      </c>
      <c r="H477" s="90" t="s">
        <v>2251</v>
      </c>
      <c r="I477" s="90" t="s">
        <v>172</v>
      </c>
      <c r="J477" s="87" t="s">
        <v>70</v>
      </c>
      <c r="K477" s="87" t="s">
        <v>71</v>
      </c>
      <c r="L477" s="90" t="s">
        <v>72</v>
      </c>
      <c r="M477" s="91" t="s">
        <v>72</v>
      </c>
      <c r="N477" s="90" t="s">
        <v>72</v>
      </c>
      <c r="O477" s="90" t="str">
        <f t="shared" si="47"/>
        <v>Distrital</v>
      </c>
      <c r="P477" s="87" t="s">
        <v>73</v>
      </c>
      <c r="Q477" s="87"/>
      <c r="R477" s="87"/>
      <c r="S477" s="87"/>
      <c r="T477" s="87"/>
      <c r="U477" s="87"/>
      <c r="V477" s="90" t="str">
        <f t="shared" si="48"/>
        <v>Distrital</v>
      </c>
      <c r="W477" s="87" t="s">
        <v>73</v>
      </c>
      <c r="X477" s="87"/>
      <c r="Y477" s="87"/>
      <c r="Z477" s="87"/>
      <c r="AA477" s="87"/>
      <c r="AB477" s="87"/>
      <c r="AC477" s="90" t="str">
        <f t="shared" si="49"/>
        <v>Distrital</v>
      </c>
      <c r="AD477" s="87" t="s">
        <v>73</v>
      </c>
      <c r="AE477" s="87"/>
      <c r="AF477" s="87"/>
      <c r="AG477" s="87"/>
      <c r="AH477" s="87"/>
      <c r="AI477" s="87"/>
      <c r="AJ477" s="87"/>
      <c r="AK477" s="87"/>
      <c r="AL477" s="87"/>
      <c r="AM477" s="87"/>
      <c r="AN477" s="90" t="s">
        <v>160</v>
      </c>
      <c r="AO477" s="90" t="s">
        <v>2252</v>
      </c>
      <c r="AP477" s="82"/>
      <c r="AQ477" s="87" t="s">
        <v>59</v>
      </c>
      <c r="AR477" s="87" t="s">
        <v>80</v>
      </c>
      <c r="AS477" s="82"/>
      <c r="AT477" s="87">
        <v>0</v>
      </c>
      <c r="AU477" s="87">
        <v>12</v>
      </c>
      <c r="AV477" s="87">
        <f t="shared" si="46"/>
        <v>12</v>
      </c>
      <c r="AW477" s="87" t="str">
        <f t="shared" si="50"/>
        <v>No Aplica</v>
      </c>
      <c r="AX477" s="87" t="s">
        <v>78</v>
      </c>
      <c r="AY477" s="87"/>
      <c r="AZ477" s="87"/>
      <c r="BA477" s="91" t="s">
        <v>2253</v>
      </c>
      <c r="BB477" s="84"/>
      <c r="BC477" s="85"/>
      <c r="BD477" s="85"/>
    </row>
    <row r="478" spans="1:56" s="86" customFormat="1" ht="46.5" customHeight="1">
      <c r="A478" s="78">
        <v>473</v>
      </c>
      <c r="B478" s="79" t="s">
        <v>2254</v>
      </c>
      <c r="C478" s="88">
        <v>45435</v>
      </c>
      <c r="D478" s="89">
        <v>0.5625</v>
      </c>
      <c r="E478" s="87" t="s">
        <v>58</v>
      </c>
      <c r="F478" s="87" t="s">
        <v>1184</v>
      </c>
      <c r="G478" s="87" t="s">
        <v>62</v>
      </c>
      <c r="H478" s="90" t="s">
        <v>2255</v>
      </c>
      <c r="I478" s="90" t="s">
        <v>188</v>
      </c>
      <c r="J478" s="87" t="s">
        <v>173</v>
      </c>
      <c r="K478" s="87"/>
      <c r="L478" s="90" t="s">
        <v>2256</v>
      </c>
      <c r="M478" s="91">
        <v>3228657280</v>
      </c>
      <c r="N478" s="90" t="s">
        <v>2257</v>
      </c>
      <c r="O478" s="90" t="str">
        <f t="shared" si="47"/>
        <v>La Candelaria, Los Mártires, Santa Fe</v>
      </c>
      <c r="P478" s="87" t="s">
        <v>487</v>
      </c>
      <c r="Q478" s="87" t="s">
        <v>542</v>
      </c>
      <c r="R478" s="87" t="s">
        <v>541</v>
      </c>
      <c r="S478" s="87"/>
      <c r="T478" s="87"/>
      <c r="U478" s="87"/>
      <c r="V478" s="90" t="str">
        <f t="shared" si="48"/>
        <v>Centro Ampliado</v>
      </c>
      <c r="W478" s="87" t="s">
        <v>415</v>
      </c>
      <c r="X478" s="87"/>
      <c r="Y478" s="87"/>
      <c r="Z478" s="87"/>
      <c r="AA478" s="87"/>
      <c r="AB478" s="87"/>
      <c r="AC478" s="90" t="str">
        <f t="shared" si="49"/>
        <v>Centro Histórico, Cerros Orientales</v>
      </c>
      <c r="AD478" s="87" t="s">
        <v>488</v>
      </c>
      <c r="AE478" s="87" t="s">
        <v>222</v>
      </c>
      <c r="AF478" s="87"/>
      <c r="AG478" s="87"/>
      <c r="AH478" s="87"/>
      <c r="AI478" s="87"/>
      <c r="AJ478" s="87"/>
      <c r="AK478" s="87"/>
      <c r="AL478" s="87"/>
      <c r="AM478" s="87"/>
      <c r="AN478" s="90" t="s">
        <v>1591</v>
      </c>
      <c r="AO478" s="90" t="s">
        <v>2248</v>
      </c>
      <c r="AP478" s="82"/>
      <c r="AQ478" s="87" t="s">
        <v>59</v>
      </c>
      <c r="AR478" s="87" t="s">
        <v>80</v>
      </c>
      <c r="AS478" s="82"/>
      <c r="AT478" s="87">
        <v>23</v>
      </c>
      <c r="AU478" s="87">
        <v>2</v>
      </c>
      <c r="AV478" s="87">
        <f t="shared" si="46"/>
        <v>25</v>
      </c>
      <c r="AW478" s="87" t="str">
        <f t="shared" si="50"/>
        <v>Ninguna</v>
      </c>
      <c r="AX478" s="87" t="s">
        <v>75</v>
      </c>
      <c r="AY478" s="87"/>
      <c r="AZ478" s="87"/>
      <c r="BA478" s="91" t="s">
        <v>2258</v>
      </c>
      <c r="BB478" s="84"/>
      <c r="BC478" s="85"/>
      <c r="BD478" s="85"/>
    </row>
    <row r="479" spans="1:56" s="86" customFormat="1" ht="46.5" customHeight="1">
      <c r="A479" s="87">
        <v>474</v>
      </c>
      <c r="B479" s="79" t="s">
        <v>2259</v>
      </c>
      <c r="C479" s="88">
        <v>45435</v>
      </c>
      <c r="D479" s="89">
        <v>0.58333333333333337</v>
      </c>
      <c r="E479" s="87" t="s">
        <v>93</v>
      </c>
      <c r="F479" s="87" t="s">
        <v>1818</v>
      </c>
      <c r="G479" s="87" t="s">
        <v>95</v>
      </c>
      <c r="H479" s="90" t="s">
        <v>2260</v>
      </c>
      <c r="I479" s="90" t="s">
        <v>64</v>
      </c>
      <c r="J479" s="87" t="s">
        <v>119</v>
      </c>
      <c r="K479" s="87" t="s">
        <v>209</v>
      </c>
      <c r="L479" s="90" t="s">
        <v>2261</v>
      </c>
      <c r="M479" s="91" t="s">
        <v>72</v>
      </c>
      <c r="N479" s="90" t="s">
        <v>72</v>
      </c>
      <c r="O479" s="90" t="str">
        <f t="shared" si="47"/>
        <v>Distrital</v>
      </c>
      <c r="P479" s="87" t="s">
        <v>73</v>
      </c>
      <c r="Q479" s="87"/>
      <c r="R479" s="87"/>
      <c r="S479" s="87"/>
      <c r="T479" s="87"/>
      <c r="U479" s="87"/>
      <c r="V479" s="90" t="str">
        <f t="shared" si="48"/>
        <v>Distrital</v>
      </c>
      <c r="W479" s="87" t="s">
        <v>73</v>
      </c>
      <c r="X479" s="87"/>
      <c r="Y479" s="87"/>
      <c r="Z479" s="87"/>
      <c r="AA479" s="87"/>
      <c r="AB479" s="87"/>
      <c r="AC479" s="90" t="str">
        <f t="shared" si="49"/>
        <v>Distrital</v>
      </c>
      <c r="AD479" s="87" t="s">
        <v>73</v>
      </c>
      <c r="AE479" s="87"/>
      <c r="AF479" s="87"/>
      <c r="AG479" s="87"/>
      <c r="AH479" s="87"/>
      <c r="AI479" s="87"/>
      <c r="AJ479" s="87"/>
      <c r="AK479" s="87"/>
      <c r="AL479" s="87"/>
      <c r="AM479" s="87"/>
      <c r="AN479" s="90" t="s">
        <v>160</v>
      </c>
      <c r="AO479" s="92" t="s">
        <v>2262</v>
      </c>
      <c r="AP479" s="82"/>
      <c r="AQ479" s="87" t="s">
        <v>59</v>
      </c>
      <c r="AR479" s="87" t="s">
        <v>80</v>
      </c>
      <c r="AS479" s="82"/>
      <c r="AT479" s="87">
        <v>19</v>
      </c>
      <c r="AU479" s="87">
        <v>1</v>
      </c>
      <c r="AV479" s="87">
        <f t="shared" si="46"/>
        <v>20</v>
      </c>
      <c r="AW479" s="87" t="str">
        <f t="shared" si="50"/>
        <v>No Aplica</v>
      </c>
      <c r="AX479" s="87" t="s">
        <v>78</v>
      </c>
      <c r="AY479" s="87"/>
      <c r="AZ479" s="87"/>
      <c r="BA479" s="91" t="s">
        <v>2263</v>
      </c>
      <c r="BB479" s="84"/>
      <c r="BC479" s="85"/>
      <c r="BD479" s="85"/>
    </row>
    <row r="480" spans="1:56" s="86" customFormat="1" ht="46.5" customHeight="1">
      <c r="A480" s="78">
        <v>475</v>
      </c>
      <c r="B480" s="79" t="s">
        <v>2030</v>
      </c>
      <c r="C480" s="88">
        <v>45435</v>
      </c>
      <c r="D480" s="89">
        <v>0.625</v>
      </c>
      <c r="E480" s="87" t="s">
        <v>58</v>
      </c>
      <c r="F480" s="87" t="s">
        <v>61</v>
      </c>
      <c r="G480" s="87" t="s">
        <v>62</v>
      </c>
      <c r="H480" s="90" t="s">
        <v>1904</v>
      </c>
      <c r="I480" s="90" t="s">
        <v>172</v>
      </c>
      <c r="J480" s="87" t="s">
        <v>70</v>
      </c>
      <c r="K480" s="87" t="s">
        <v>300</v>
      </c>
      <c r="L480" s="90" t="s">
        <v>72</v>
      </c>
      <c r="M480" s="91" t="s">
        <v>72</v>
      </c>
      <c r="N480" s="90" t="s">
        <v>72</v>
      </c>
      <c r="O480" s="90" t="str">
        <f t="shared" si="47"/>
        <v>Distrital</v>
      </c>
      <c r="P480" s="87" t="s">
        <v>73</v>
      </c>
      <c r="Q480" s="87"/>
      <c r="R480" s="87"/>
      <c r="S480" s="87"/>
      <c r="T480" s="87"/>
      <c r="U480" s="87"/>
      <c r="V480" s="90" t="str">
        <f t="shared" si="48"/>
        <v>Distrital</v>
      </c>
      <c r="W480" s="87" t="s">
        <v>73</v>
      </c>
      <c r="X480" s="87"/>
      <c r="Y480" s="87"/>
      <c r="Z480" s="87"/>
      <c r="AA480" s="87"/>
      <c r="AB480" s="87"/>
      <c r="AC480" s="90" t="str">
        <f t="shared" si="49"/>
        <v>Distrital</v>
      </c>
      <c r="AD480" s="87" t="s">
        <v>73</v>
      </c>
      <c r="AE480" s="87"/>
      <c r="AF480" s="87"/>
      <c r="AG480" s="87"/>
      <c r="AH480" s="87"/>
      <c r="AI480" s="87"/>
      <c r="AJ480" s="87"/>
      <c r="AK480" s="87"/>
      <c r="AL480" s="87"/>
      <c r="AM480" s="87"/>
      <c r="AN480" s="90" t="s">
        <v>1739</v>
      </c>
      <c r="AO480" s="90" t="s">
        <v>1740</v>
      </c>
      <c r="AP480" s="82"/>
      <c r="AQ480" s="87" t="s">
        <v>60</v>
      </c>
      <c r="AR480" s="87" t="s">
        <v>1741</v>
      </c>
      <c r="AS480" s="82"/>
      <c r="AT480" s="87">
        <v>6</v>
      </c>
      <c r="AU480" s="87">
        <v>100</v>
      </c>
      <c r="AV480" s="87">
        <f t="shared" si="46"/>
        <v>106</v>
      </c>
      <c r="AW480" s="87" t="str">
        <f t="shared" si="50"/>
        <v>No Aplica</v>
      </c>
      <c r="AX480" s="87" t="s">
        <v>78</v>
      </c>
      <c r="AY480" s="87"/>
      <c r="AZ480" s="87"/>
      <c r="BA480" s="91" t="s">
        <v>2264</v>
      </c>
      <c r="BB480" s="84"/>
      <c r="BC480" s="85"/>
      <c r="BD480" s="85"/>
    </row>
    <row r="481" spans="1:56" s="86" customFormat="1" ht="46.5" customHeight="1">
      <c r="A481" s="87">
        <v>476</v>
      </c>
      <c r="B481" s="79" t="s">
        <v>2265</v>
      </c>
      <c r="C481" s="88">
        <v>45436</v>
      </c>
      <c r="D481" s="89">
        <v>0.36458333333333331</v>
      </c>
      <c r="E481" s="87" t="s">
        <v>58</v>
      </c>
      <c r="F481" s="87" t="s">
        <v>1486</v>
      </c>
      <c r="G481" s="87" t="s">
        <v>62</v>
      </c>
      <c r="H481" s="90" t="s">
        <v>2266</v>
      </c>
      <c r="I481" s="90" t="s">
        <v>118</v>
      </c>
      <c r="J481" s="87" t="s">
        <v>173</v>
      </c>
      <c r="K481" s="87"/>
      <c r="L481" s="90" t="s">
        <v>72</v>
      </c>
      <c r="M481" s="91" t="s">
        <v>72</v>
      </c>
      <c r="N481" s="90" t="s">
        <v>72</v>
      </c>
      <c r="O481" s="90" t="str">
        <f>_xlfn.TEXTJOIN(", ",TRUE,$P481:$T481)</f>
        <v>Distrital</v>
      </c>
      <c r="P481" s="87" t="s">
        <v>73</v>
      </c>
      <c r="Q481" s="87"/>
      <c r="R481" s="87"/>
      <c r="S481" s="87"/>
      <c r="T481" s="87"/>
      <c r="U481" s="87"/>
      <c r="V481" s="90" t="str">
        <f>_xlfn.TEXTJOIN(", ",TRUE,$W481:$AB481)</f>
        <v>Distrital</v>
      </c>
      <c r="W481" s="87" t="s">
        <v>73</v>
      </c>
      <c r="X481" s="87"/>
      <c r="Y481" s="87"/>
      <c r="Z481" s="87"/>
      <c r="AA481" s="87"/>
      <c r="AB481" s="87"/>
      <c r="AC481" s="90" t="str">
        <f>_xlfn.TEXTJOIN(", ",TRUE,$AD481:$AM481)</f>
        <v>Distrital</v>
      </c>
      <c r="AD481" s="87" t="s">
        <v>73</v>
      </c>
      <c r="AE481" s="87"/>
      <c r="AF481" s="87"/>
      <c r="AG481" s="87"/>
      <c r="AH481" s="87"/>
      <c r="AI481" s="87"/>
      <c r="AJ481" s="87"/>
      <c r="AK481" s="87"/>
      <c r="AL481" s="87"/>
      <c r="AM481" s="87"/>
      <c r="AN481" s="90" t="s">
        <v>80</v>
      </c>
      <c r="AO481" s="90" t="s">
        <v>2267</v>
      </c>
      <c r="AP481" s="82"/>
      <c r="AQ481" s="87" t="s">
        <v>59</v>
      </c>
      <c r="AR481" s="87" t="s">
        <v>80</v>
      </c>
      <c r="AS481" s="82"/>
      <c r="AT481" s="87">
        <v>29</v>
      </c>
      <c r="AU481" s="87">
        <v>3</v>
      </c>
      <c r="AV481" s="87">
        <f>AT481+AU481</f>
        <v>32</v>
      </c>
      <c r="AW481" s="87" t="s">
        <v>184</v>
      </c>
      <c r="AX481" s="87"/>
      <c r="AY481" s="87"/>
      <c r="AZ481" s="87"/>
      <c r="BA481" s="91" t="s">
        <v>1490</v>
      </c>
      <c r="BB481" s="84"/>
      <c r="BC481" s="85"/>
      <c r="BD481" s="85"/>
    </row>
    <row r="482" spans="1:56" s="86" customFormat="1" ht="46.5" customHeight="1">
      <c r="A482" s="78">
        <v>477</v>
      </c>
      <c r="B482" s="79" t="s">
        <v>2027</v>
      </c>
      <c r="C482" s="88">
        <v>45436</v>
      </c>
      <c r="D482" s="89">
        <v>0.375</v>
      </c>
      <c r="E482" s="87" t="s">
        <v>58</v>
      </c>
      <c r="F482" s="87" t="s">
        <v>61</v>
      </c>
      <c r="G482" s="87" t="s">
        <v>62</v>
      </c>
      <c r="H482" s="90" t="s">
        <v>1904</v>
      </c>
      <c r="I482" s="90" t="s">
        <v>172</v>
      </c>
      <c r="J482" s="87" t="s">
        <v>70</v>
      </c>
      <c r="K482" s="87" t="s">
        <v>300</v>
      </c>
      <c r="L482" s="90" t="s">
        <v>72</v>
      </c>
      <c r="M482" s="91" t="s">
        <v>72</v>
      </c>
      <c r="N482" s="90" t="s">
        <v>72</v>
      </c>
      <c r="O482" s="90" t="str">
        <f t="shared" si="47"/>
        <v>Distrital</v>
      </c>
      <c r="P482" s="87" t="s">
        <v>73</v>
      </c>
      <c r="Q482" s="87"/>
      <c r="R482" s="87"/>
      <c r="S482" s="87"/>
      <c r="T482" s="87"/>
      <c r="U482" s="87"/>
      <c r="V482" s="90" t="str">
        <f t="shared" si="48"/>
        <v>Distrital</v>
      </c>
      <c r="W482" s="87" t="s">
        <v>73</v>
      </c>
      <c r="X482" s="87"/>
      <c r="Y482" s="87"/>
      <c r="Z482" s="87"/>
      <c r="AA482" s="87"/>
      <c r="AB482" s="87"/>
      <c r="AC482" s="90" t="str">
        <f t="shared" si="49"/>
        <v>Distrital</v>
      </c>
      <c r="AD482" s="87" t="s">
        <v>73</v>
      </c>
      <c r="AE482" s="87"/>
      <c r="AF482" s="87"/>
      <c r="AG482" s="87"/>
      <c r="AH482" s="87"/>
      <c r="AI482" s="87"/>
      <c r="AJ482" s="87"/>
      <c r="AK482" s="87"/>
      <c r="AL482" s="87"/>
      <c r="AM482" s="87"/>
      <c r="AN482" s="90" t="s">
        <v>1739</v>
      </c>
      <c r="AO482" s="90" t="s">
        <v>1740</v>
      </c>
      <c r="AP482" s="82"/>
      <c r="AQ482" s="87" t="s">
        <v>60</v>
      </c>
      <c r="AR482" s="87" t="s">
        <v>1741</v>
      </c>
      <c r="AS482" s="82"/>
      <c r="AT482" s="87">
        <v>298</v>
      </c>
      <c r="AU482" s="87">
        <v>7</v>
      </c>
      <c r="AV482" s="87">
        <f t="shared" si="46"/>
        <v>305</v>
      </c>
      <c r="AW482" s="87" t="str">
        <f t="shared" si="50"/>
        <v>No Aplica</v>
      </c>
      <c r="AX482" s="87" t="s">
        <v>78</v>
      </c>
      <c r="AY482" s="87"/>
      <c r="AZ482" s="87"/>
      <c r="BA482" s="91"/>
      <c r="BB482" s="84"/>
      <c r="BC482" s="85"/>
      <c r="BD482" s="85"/>
    </row>
    <row r="483" spans="1:56" s="86" customFormat="1" ht="46.5" customHeight="1">
      <c r="A483" s="87">
        <v>478</v>
      </c>
      <c r="B483" s="79" t="s">
        <v>1714</v>
      </c>
      <c r="C483" s="88">
        <v>45436</v>
      </c>
      <c r="D483" s="89">
        <v>0.58333333333333337</v>
      </c>
      <c r="E483" s="87" t="s">
        <v>58</v>
      </c>
      <c r="F483" s="87" t="s">
        <v>135</v>
      </c>
      <c r="G483" s="87" t="s">
        <v>62</v>
      </c>
      <c r="H483" s="90" t="s">
        <v>2268</v>
      </c>
      <c r="I483" s="90" t="s">
        <v>64</v>
      </c>
      <c r="J483" s="87" t="s">
        <v>173</v>
      </c>
      <c r="K483" s="87"/>
      <c r="L483" s="90" t="s">
        <v>1439</v>
      </c>
      <c r="M483" s="91" t="s">
        <v>2269</v>
      </c>
      <c r="N483" s="90" t="s">
        <v>1440</v>
      </c>
      <c r="O483" s="90" t="str">
        <f t="shared" si="47"/>
        <v>Distrital</v>
      </c>
      <c r="P483" s="87" t="s">
        <v>73</v>
      </c>
      <c r="Q483" s="87"/>
      <c r="R483" s="87"/>
      <c r="S483" s="87"/>
      <c r="T483" s="87"/>
      <c r="U483" s="87"/>
      <c r="V483" s="90" t="str">
        <f t="shared" si="48"/>
        <v>Distrital</v>
      </c>
      <c r="W483" s="87" t="s">
        <v>73</v>
      </c>
      <c r="X483" s="87"/>
      <c r="Y483" s="87"/>
      <c r="Z483" s="87"/>
      <c r="AA483" s="87"/>
      <c r="AB483" s="87"/>
      <c r="AC483" s="90" t="str">
        <f t="shared" si="49"/>
        <v>Distrital</v>
      </c>
      <c r="AD483" s="87" t="s">
        <v>73</v>
      </c>
      <c r="AE483" s="87"/>
      <c r="AF483" s="87"/>
      <c r="AG483" s="87"/>
      <c r="AH483" s="87"/>
      <c r="AI483" s="87"/>
      <c r="AJ483" s="87"/>
      <c r="AK483" s="87"/>
      <c r="AL483" s="87"/>
      <c r="AM483" s="87"/>
      <c r="AN483" s="90" t="s">
        <v>160</v>
      </c>
      <c r="AO483" s="90" t="s">
        <v>2270</v>
      </c>
      <c r="AP483" s="82"/>
      <c r="AQ483" s="87" t="s">
        <v>60</v>
      </c>
      <c r="AR483" s="87" t="s">
        <v>77</v>
      </c>
      <c r="AS483" s="82"/>
      <c r="AT483" s="87">
        <v>4</v>
      </c>
      <c r="AU483" s="87">
        <v>7</v>
      </c>
      <c r="AV483" s="87">
        <f t="shared" si="46"/>
        <v>11</v>
      </c>
      <c r="AW483" s="87" t="str">
        <f t="shared" si="50"/>
        <v>Ninguna</v>
      </c>
      <c r="AX483" s="87" t="s">
        <v>75</v>
      </c>
      <c r="AY483" s="87"/>
      <c r="AZ483" s="87"/>
      <c r="BA483" s="91" t="s">
        <v>2271</v>
      </c>
      <c r="BB483" s="84"/>
      <c r="BC483" s="85"/>
      <c r="BD483" s="85"/>
    </row>
    <row r="484" spans="1:56" s="86" customFormat="1" ht="46.5" customHeight="1">
      <c r="A484" s="78">
        <v>479</v>
      </c>
      <c r="B484" s="79" t="s">
        <v>2272</v>
      </c>
      <c r="C484" s="88">
        <v>45436</v>
      </c>
      <c r="D484" s="89">
        <v>0.58333333333333337</v>
      </c>
      <c r="E484" s="87" t="s">
        <v>58</v>
      </c>
      <c r="F484" s="87" t="s">
        <v>1769</v>
      </c>
      <c r="G484" s="87" t="s">
        <v>62</v>
      </c>
      <c r="H484" s="90" t="s">
        <v>2273</v>
      </c>
      <c r="I484" s="90" t="s">
        <v>188</v>
      </c>
      <c r="J484" s="87" t="s">
        <v>173</v>
      </c>
      <c r="K484" s="87"/>
      <c r="L484" s="90" t="s">
        <v>1931</v>
      </c>
      <c r="M484" s="91" t="s">
        <v>2274</v>
      </c>
      <c r="N484" s="90" t="s">
        <v>1932</v>
      </c>
      <c r="O484" s="90" t="str">
        <f t="shared" si="47"/>
        <v>Usme, Tunjuelito, Ciudad Bolívar, Sumapaz</v>
      </c>
      <c r="P484" s="87" t="s">
        <v>670</v>
      </c>
      <c r="Q484" s="87" t="s">
        <v>618</v>
      </c>
      <c r="R484" s="87" t="s">
        <v>107</v>
      </c>
      <c r="S484" s="87" t="s">
        <v>327</v>
      </c>
      <c r="T484" s="87"/>
      <c r="U484" s="87"/>
      <c r="V484" s="90" t="str">
        <f t="shared" si="48"/>
        <v>Suroriente, Ruralidad</v>
      </c>
      <c r="W484" s="87" t="s">
        <v>108</v>
      </c>
      <c r="X484" s="87" t="s">
        <v>109</v>
      </c>
      <c r="Y484" s="87"/>
      <c r="Z484" s="87"/>
      <c r="AA484" s="87"/>
      <c r="AB484" s="87"/>
      <c r="AC484" s="90" t="str">
        <f t="shared" si="49"/>
        <v>Rafael Uribe, Usme Entrenubes, Cuenca del Tunjuelo, Cerros Orientales, Tunjuelito, Arborizadora, Lucero, Sumapaz</v>
      </c>
      <c r="AD484" s="87" t="s">
        <v>467</v>
      </c>
      <c r="AE484" s="87" t="s">
        <v>671</v>
      </c>
      <c r="AF484" s="87" t="s">
        <v>112</v>
      </c>
      <c r="AG484" s="87" t="s">
        <v>222</v>
      </c>
      <c r="AH484" s="87" t="s">
        <v>618</v>
      </c>
      <c r="AI484" s="87" t="s">
        <v>110</v>
      </c>
      <c r="AJ484" s="87" t="s">
        <v>111</v>
      </c>
      <c r="AK484" s="87" t="s">
        <v>327</v>
      </c>
      <c r="AL484" s="87"/>
      <c r="AM484" s="87"/>
      <c r="AN484" s="90" t="s">
        <v>2275</v>
      </c>
      <c r="AO484" s="90" t="s">
        <v>2276</v>
      </c>
      <c r="AP484" s="82"/>
      <c r="AQ484" s="87" t="s">
        <v>59</v>
      </c>
      <c r="AR484" s="87" t="s">
        <v>80</v>
      </c>
      <c r="AS484" s="82"/>
      <c r="AT484" s="87">
        <v>11</v>
      </c>
      <c r="AU484" s="87">
        <v>4</v>
      </c>
      <c r="AV484" s="87">
        <f t="shared" si="46"/>
        <v>15</v>
      </c>
      <c r="AW484" s="87" t="str">
        <f t="shared" si="50"/>
        <v>Horarios Acordes</v>
      </c>
      <c r="AX484" s="87" t="s">
        <v>213</v>
      </c>
      <c r="AY484" s="87"/>
      <c r="AZ484" s="87"/>
      <c r="BA484" s="91" t="s">
        <v>2277</v>
      </c>
      <c r="BB484" s="84"/>
      <c r="BC484" s="85"/>
      <c r="BD484" s="85"/>
    </row>
    <row r="485" spans="1:56" s="86" customFormat="1" ht="46.5" customHeight="1">
      <c r="A485" s="87">
        <v>480</v>
      </c>
      <c r="B485" s="79" t="s">
        <v>2030</v>
      </c>
      <c r="C485" s="88">
        <v>45436</v>
      </c>
      <c r="D485" s="89">
        <v>0.625</v>
      </c>
      <c r="E485" s="87" t="s">
        <v>58</v>
      </c>
      <c r="F485" s="87" t="s">
        <v>61</v>
      </c>
      <c r="G485" s="87" t="s">
        <v>62</v>
      </c>
      <c r="H485" s="90" t="s">
        <v>1904</v>
      </c>
      <c r="I485" s="90" t="s">
        <v>172</v>
      </c>
      <c r="J485" s="87" t="s">
        <v>70</v>
      </c>
      <c r="K485" s="87" t="s">
        <v>300</v>
      </c>
      <c r="L485" s="90" t="s">
        <v>72</v>
      </c>
      <c r="M485" s="91" t="s">
        <v>72</v>
      </c>
      <c r="N485" s="90" t="s">
        <v>72</v>
      </c>
      <c r="O485" s="90" t="str">
        <f t="shared" si="47"/>
        <v>Distrital</v>
      </c>
      <c r="P485" s="87" t="s">
        <v>73</v>
      </c>
      <c r="Q485" s="87"/>
      <c r="R485" s="87"/>
      <c r="S485" s="87"/>
      <c r="T485" s="87"/>
      <c r="U485" s="87"/>
      <c r="V485" s="90" t="str">
        <f t="shared" si="48"/>
        <v>Distrital</v>
      </c>
      <c r="W485" s="87" t="s">
        <v>73</v>
      </c>
      <c r="X485" s="87"/>
      <c r="Y485" s="87"/>
      <c r="Z485" s="87"/>
      <c r="AA485" s="87"/>
      <c r="AB485" s="87"/>
      <c r="AC485" s="90" t="str">
        <f t="shared" si="49"/>
        <v>Distrital</v>
      </c>
      <c r="AD485" s="87" t="s">
        <v>73</v>
      </c>
      <c r="AE485" s="87"/>
      <c r="AF485" s="87"/>
      <c r="AG485" s="87"/>
      <c r="AH485" s="87"/>
      <c r="AI485" s="87"/>
      <c r="AJ485" s="87"/>
      <c r="AK485" s="87"/>
      <c r="AL485" s="87"/>
      <c r="AM485" s="87"/>
      <c r="AN485" s="90" t="s">
        <v>1739</v>
      </c>
      <c r="AO485" s="90" t="s">
        <v>1740</v>
      </c>
      <c r="AP485" s="82"/>
      <c r="AQ485" s="87" t="s">
        <v>60</v>
      </c>
      <c r="AR485" s="87" t="s">
        <v>1741</v>
      </c>
      <c r="AS485" s="82"/>
      <c r="AT485" s="87">
        <v>160</v>
      </c>
      <c r="AU485" s="87">
        <v>6</v>
      </c>
      <c r="AV485" s="87">
        <f t="shared" si="46"/>
        <v>166</v>
      </c>
      <c r="AW485" s="87" t="str">
        <f t="shared" si="50"/>
        <v>Accesibilidad Universal</v>
      </c>
      <c r="AX485" s="87" t="s">
        <v>246</v>
      </c>
      <c r="AY485" s="87"/>
      <c r="AZ485" s="87"/>
      <c r="BA485" s="91" t="s">
        <v>2278</v>
      </c>
      <c r="BB485" s="84"/>
      <c r="BC485" s="85"/>
      <c r="BD485" s="85"/>
    </row>
    <row r="486" spans="1:56" s="86" customFormat="1" ht="46.5" customHeight="1">
      <c r="A486" s="78">
        <v>481</v>
      </c>
      <c r="B486" s="79" t="s">
        <v>2279</v>
      </c>
      <c r="C486" s="88">
        <v>45436</v>
      </c>
      <c r="D486" s="89">
        <v>0.70833333333333337</v>
      </c>
      <c r="E486" s="87" t="s">
        <v>93</v>
      </c>
      <c r="F486" s="87" t="s">
        <v>102</v>
      </c>
      <c r="G486" s="87" t="s">
        <v>95</v>
      </c>
      <c r="H486" s="90" t="s">
        <v>2172</v>
      </c>
      <c r="I486" s="90" t="s">
        <v>118</v>
      </c>
      <c r="J486" s="87" t="s">
        <v>119</v>
      </c>
      <c r="K486" s="87" t="s">
        <v>129</v>
      </c>
      <c r="L486" s="90" t="s">
        <v>891</v>
      </c>
      <c r="M486" s="91" t="s">
        <v>1039</v>
      </c>
      <c r="N486" s="90" t="s">
        <v>2280</v>
      </c>
      <c r="O486" s="90" t="str">
        <f t="shared" si="47"/>
        <v>Distrital</v>
      </c>
      <c r="P486" s="87" t="s">
        <v>73</v>
      </c>
      <c r="Q486" s="87"/>
      <c r="R486" s="87"/>
      <c r="S486" s="87"/>
      <c r="T486" s="87"/>
      <c r="U486" s="87"/>
      <c r="V486" s="90" t="str">
        <f t="shared" si="48"/>
        <v>Distrital</v>
      </c>
      <c r="W486" s="87" t="s">
        <v>73</v>
      </c>
      <c r="X486" s="87"/>
      <c r="Y486" s="87"/>
      <c r="Z486" s="87"/>
      <c r="AA486" s="87"/>
      <c r="AB486" s="87"/>
      <c r="AC486" s="90" t="str">
        <f t="shared" si="49"/>
        <v>Distrital</v>
      </c>
      <c r="AD486" s="87" t="s">
        <v>73</v>
      </c>
      <c r="AE486" s="87"/>
      <c r="AF486" s="87"/>
      <c r="AG486" s="87"/>
      <c r="AH486" s="87"/>
      <c r="AI486" s="87"/>
      <c r="AJ486" s="87"/>
      <c r="AK486" s="87"/>
      <c r="AL486" s="87"/>
      <c r="AM486" s="87"/>
      <c r="AN486" s="90" t="s">
        <v>160</v>
      </c>
      <c r="AO486" s="92" t="s">
        <v>2281</v>
      </c>
      <c r="AP486" s="82"/>
      <c r="AQ486" s="87" t="s">
        <v>59</v>
      </c>
      <c r="AR486" s="87" t="s">
        <v>80</v>
      </c>
      <c r="AS486" s="82"/>
      <c r="AT486" s="87">
        <v>13</v>
      </c>
      <c r="AU486" s="87">
        <v>1</v>
      </c>
      <c r="AV486" s="87">
        <f t="shared" si="46"/>
        <v>14</v>
      </c>
      <c r="AW486" s="87" t="str">
        <f t="shared" si="50"/>
        <v>Lenguaje de señas, Accesibilidad Universal</v>
      </c>
      <c r="AX486" s="87" t="s">
        <v>211</v>
      </c>
      <c r="AY486" s="87" t="s">
        <v>246</v>
      </c>
      <c r="AZ486" s="87"/>
      <c r="BA486" s="91" t="s">
        <v>2282</v>
      </c>
      <c r="BB486" s="84"/>
      <c r="BC486" s="85"/>
      <c r="BD486" s="85"/>
    </row>
    <row r="487" spans="1:56" s="86" customFormat="1" ht="46.5" customHeight="1">
      <c r="A487" s="87">
        <v>482</v>
      </c>
      <c r="B487" s="79" t="s">
        <v>2283</v>
      </c>
      <c r="C487" s="88">
        <v>45436</v>
      </c>
      <c r="D487" s="89">
        <v>0.79166666666666663</v>
      </c>
      <c r="E487" s="87" t="s">
        <v>93</v>
      </c>
      <c r="F487" s="87" t="s">
        <v>102</v>
      </c>
      <c r="G487" s="87" t="s">
        <v>95</v>
      </c>
      <c r="H487" s="90" t="s">
        <v>2284</v>
      </c>
      <c r="I487" s="90" t="s">
        <v>118</v>
      </c>
      <c r="J487" s="87" t="s">
        <v>119</v>
      </c>
      <c r="K487" s="87" t="s">
        <v>129</v>
      </c>
      <c r="L487" s="90" t="s">
        <v>881</v>
      </c>
      <c r="M487" s="91" t="s">
        <v>882</v>
      </c>
      <c r="N487" s="90" t="s">
        <v>883</v>
      </c>
      <c r="O487" s="90" t="str">
        <f t="shared" si="47"/>
        <v>Distrital</v>
      </c>
      <c r="P487" s="87" t="s">
        <v>73</v>
      </c>
      <c r="Q487" s="87"/>
      <c r="R487" s="87"/>
      <c r="S487" s="87"/>
      <c r="T487" s="87"/>
      <c r="U487" s="87"/>
      <c r="V487" s="90" t="str">
        <f t="shared" si="48"/>
        <v>Distrital</v>
      </c>
      <c r="W487" s="87" t="s">
        <v>73</v>
      </c>
      <c r="X487" s="87"/>
      <c r="Y487" s="87"/>
      <c r="Z487" s="87"/>
      <c r="AA487" s="87"/>
      <c r="AB487" s="87"/>
      <c r="AC487" s="90" t="str">
        <f t="shared" si="49"/>
        <v>Distrital</v>
      </c>
      <c r="AD487" s="87" t="s">
        <v>73</v>
      </c>
      <c r="AE487" s="87"/>
      <c r="AF487" s="87"/>
      <c r="AG487" s="87"/>
      <c r="AH487" s="87"/>
      <c r="AI487" s="87"/>
      <c r="AJ487" s="87"/>
      <c r="AK487" s="87"/>
      <c r="AL487" s="87"/>
      <c r="AM487" s="87"/>
      <c r="AN487" s="90" t="s">
        <v>160</v>
      </c>
      <c r="AO487" s="92" t="s">
        <v>2285</v>
      </c>
      <c r="AP487" s="82"/>
      <c r="AQ487" s="87" t="s">
        <v>59</v>
      </c>
      <c r="AR487" s="87" t="s">
        <v>80</v>
      </c>
      <c r="AS487" s="82"/>
      <c r="AT487" s="87">
        <v>9</v>
      </c>
      <c r="AU487" s="87">
        <v>1</v>
      </c>
      <c r="AV487" s="87">
        <f t="shared" si="46"/>
        <v>10</v>
      </c>
      <c r="AW487" s="87" t="str">
        <f t="shared" si="50"/>
        <v>Ninguna</v>
      </c>
      <c r="AX487" s="87" t="s">
        <v>75</v>
      </c>
      <c r="AY487" s="87"/>
      <c r="AZ487" s="87"/>
      <c r="BA487" s="91" t="s">
        <v>2286</v>
      </c>
      <c r="BB487" s="84"/>
      <c r="BC487" s="85"/>
      <c r="BD487" s="85"/>
    </row>
    <row r="488" spans="1:56" s="86" customFormat="1" ht="46.5" customHeight="1">
      <c r="A488" s="78">
        <v>483</v>
      </c>
      <c r="B488" s="79" t="s">
        <v>2027</v>
      </c>
      <c r="C488" s="88">
        <v>45437</v>
      </c>
      <c r="D488" s="89">
        <v>0.375</v>
      </c>
      <c r="E488" s="87" t="s">
        <v>58</v>
      </c>
      <c r="F488" s="87" t="s">
        <v>61</v>
      </c>
      <c r="G488" s="87" t="s">
        <v>62</v>
      </c>
      <c r="H488" s="90" t="s">
        <v>1904</v>
      </c>
      <c r="I488" s="90" t="s">
        <v>172</v>
      </c>
      <c r="J488" s="87" t="s">
        <v>70</v>
      </c>
      <c r="K488" s="87" t="s">
        <v>300</v>
      </c>
      <c r="L488" s="90" t="s">
        <v>72</v>
      </c>
      <c r="M488" s="91" t="s">
        <v>72</v>
      </c>
      <c r="N488" s="90" t="s">
        <v>72</v>
      </c>
      <c r="O488" s="90" t="str">
        <f t="shared" si="47"/>
        <v>Distrital</v>
      </c>
      <c r="P488" s="87" t="s">
        <v>73</v>
      </c>
      <c r="Q488" s="87"/>
      <c r="R488" s="87"/>
      <c r="S488" s="87"/>
      <c r="T488" s="87"/>
      <c r="U488" s="87"/>
      <c r="V488" s="90" t="str">
        <f t="shared" si="48"/>
        <v>Distrital</v>
      </c>
      <c r="W488" s="87" t="s">
        <v>73</v>
      </c>
      <c r="X488" s="87"/>
      <c r="Y488" s="87"/>
      <c r="Z488" s="87"/>
      <c r="AA488" s="87"/>
      <c r="AB488" s="87"/>
      <c r="AC488" s="90" t="str">
        <f t="shared" si="49"/>
        <v>Distrital</v>
      </c>
      <c r="AD488" s="87" t="s">
        <v>73</v>
      </c>
      <c r="AE488" s="87"/>
      <c r="AF488" s="87"/>
      <c r="AG488" s="87"/>
      <c r="AH488" s="87"/>
      <c r="AI488" s="87"/>
      <c r="AJ488" s="87"/>
      <c r="AK488" s="87"/>
      <c r="AL488" s="87"/>
      <c r="AM488" s="87"/>
      <c r="AN488" s="90" t="s">
        <v>1739</v>
      </c>
      <c r="AO488" s="90" t="s">
        <v>1740</v>
      </c>
      <c r="AP488" s="82"/>
      <c r="AQ488" s="87" t="s">
        <v>60</v>
      </c>
      <c r="AR488" s="87" t="s">
        <v>1741</v>
      </c>
      <c r="AS488" s="82"/>
      <c r="AT488" s="87">
        <v>246</v>
      </c>
      <c r="AU488" s="87">
        <v>8</v>
      </c>
      <c r="AV488" s="87">
        <f t="shared" si="46"/>
        <v>254</v>
      </c>
      <c r="AW488" s="87" t="str">
        <f t="shared" si="50"/>
        <v>Ninguna</v>
      </c>
      <c r="AX488" s="87" t="s">
        <v>75</v>
      </c>
      <c r="AY488" s="87"/>
      <c r="AZ488" s="87"/>
      <c r="BA488" s="91" t="s">
        <v>2287</v>
      </c>
      <c r="BB488" s="84"/>
      <c r="BC488" s="85"/>
      <c r="BD488" s="85"/>
    </row>
    <row r="489" spans="1:56" s="86" customFormat="1" ht="46.5" customHeight="1">
      <c r="A489" s="87">
        <v>484</v>
      </c>
      <c r="B489" s="79" t="s">
        <v>2288</v>
      </c>
      <c r="C489" s="88">
        <v>45437</v>
      </c>
      <c r="D489" s="89">
        <v>0.375</v>
      </c>
      <c r="E489" s="87" t="s">
        <v>58</v>
      </c>
      <c r="F489" s="87" t="s">
        <v>149</v>
      </c>
      <c r="G489" s="87" t="s">
        <v>62</v>
      </c>
      <c r="H489" s="90" t="s">
        <v>2289</v>
      </c>
      <c r="I489" s="90" t="s">
        <v>64</v>
      </c>
      <c r="J489" s="87" t="s">
        <v>173</v>
      </c>
      <c r="K489" s="87"/>
      <c r="L489" s="90" t="s">
        <v>2290</v>
      </c>
      <c r="M489" s="91" t="s">
        <v>2291</v>
      </c>
      <c r="N489" s="90" t="s">
        <v>2292</v>
      </c>
      <c r="O489" s="90" t="str">
        <f t="shared" si="47"/>
        <v>Distrital</v>
      </c>
      <c r="P489" s="87" t="s">
        <v>73</v>
      </c>
      <c r="Q489" s="87"/>
      <c r="R489" s="87"/>
      <c r="S489" s="87"/>
      <c r="T489" s="87"/>
      <c r="U489" s="87"/>
      <c r="V489" s="90" t="str">
        <f t="shared" si="48"/>
        <v>Distrital</v>
      </c>
      <c r="W489" s="87" t="s">
        <v>73</v>
      </c>
      <c r="X489" s="87"/>
      <c r="Y489" s="87"/>
      <c r="Z489" s="87"/>
      <c r="AA489" s="87"/>
      <c r="AB489" s="87"/>
      <c r="AC489" s="90" t="str">
        <f t="shared" si="49"/>
        <v>Distrital</v>
      </c>
      <c r="AD489" s="87" t="s">
        <v>73</v>
      </c>
      <c r="AE489" s="87"/>
      <c r="AF489" s="87"/>
      <c r="AG489" s="87"/>
      <c r="AH489" s="87"/>
      <c r="AI489" s="87"/>
      <c r="AJ489" s="87"/>
      <c r="AK489" s="87"/>
      <c r="AL489" s="87"/>
      <c r="AM489" s="87"/>
      <c r="AN489" s="90" t="s">
        <v>160</v>
      </c>
      <c r="AO489" s="90" t="s">
        <v>2293</v>
      </c>
      <c r="AP489" s="82"/>
      <c r="AQ489" s="87" t="s">
        <v>59</v>
      </c>
      <c r="AR489" s="87" t="s">
        <v>80</v>
      </c>
      <c r="AS489" s="82"/>
      <c r="AT489" s="87">
        <v>300</v>
      </c>
      <c r="AU489" s="87">
        <v>1</v>
      </c>
      <c r="AV489" s="87">
        <f t="shared" si="46"/>
        <v>301</v>
      </c>
      <c r="AW489" s="87" t="str">
        <f t="shared" si="50"/>
        <v>Ninguna</v>
      </c>
      <c r="AX489" s="87" t="s">
        <v>75</v>
      </c>
      <c r="AY489" s="87"/>
      <c r="AZ489" s="87"/>
      <c r="BA489" s="91" t="s">
        <v>2294</v>
      </c>
      <c r="BB489" s="84"/>
      <c r="BC489" s="85"/>
      <c r="BD489" s="85"/>
    </row>
    <row r="490" spans="1:56" s="86" customFormat="1" ht="46.5" customHeight="1">
      <c r="A490" s="78">
        <v>485</v>
      </c>
      <c r="B490" s="79" t="s">
        <v>2295</v>
      </c>
      <c r="C490" s="88">
        <v>45437</v>
      </c>
      <c r="D490" s="89">
        <v>0.41666666666666669</v>
      </c>
      <c r="E490" s="87" t="s">
        <v>58</v>
      </c>
      <c r="F490" s="87" t="s">
        <v>1142</v>
      </c>
      <c r="G490" s="87" t="s">
        <v>62</v>
      </c>
      <c r="H490" s="90" t="s">
        <v>2296</v>
      </c>
      <c r="I490" s="90" t="s">
        <v>188</v>
      </c>
      <c r="J490" s="87" t="s">
        <v>119</v>
      </c>
      <c r="K490" s="87" t="s">
        <v>209</v>
      </c>
      <c r="L490" s="90" t="s">
        <v>1222</v>
      </c>
      <c r="M490" s="91">
        <v>3013547532</v>
      </c>
      <c r="N490" s="93" t="s">
        <v>1223</v>
      </c>
      <c r="O490" s="90" t="str">
        <f t="shared" si="47"/>
        <v>Distrital</v>
      </c>
      <c r="P490" s="87" t="s">
        <v>73</v>
      </c>
      <c r="Q490" s="87"/>
      <c r="R490" s="87"/>
      <c r="S490" s="87"/>
      <c r="T490" s="87"/>
      <c r="U490" s="87"/>
      <c r="V490" s="90" t="str">
        <f t="shared" si="48"/>
        <v>Distrital</v>
      </c>
      <c r="W490" s="87" t="s">
        <v>73</v>
      </c>
      <c r="X490" s="87"/>
      <c r="Y490" s="87"/>
      <c r="Z490" s="87"/>
      <c r="AA490" s="87"/>
      <c r="AB490" s="87"/>
      <c r="AC490" s="90" t="str">
        <f t="shared" si="49"/>
        <v>Distrital</v>
      </c>
      <c r="AD490" s="87" t="s">
        <v>73</v>
      </c>
      <c r="AE490" s="87"/>
      <c r="AF490" s="87"/>
      <c r="AG490" s="87"/>
      <c r="AH490" s="87"/>
      <c r="AI490" s="87"/>
      <c r="AJ490" s="87"/>
      <c r="AK490" s="87"/>
      <c r="AL490" s="87"/>
      <c r="AM490" s="87"/>
      <c r="AN490" s="90" t="s">
        <v>2297</v>
      </c>
      <c r="AO490" s="90" t="s">
        <v>2298</v>
      </c>
      <c r="AP490" s="82"/>
      <c r="AQ490" s="87" t="s">
        <v>59</v>
      </c>
      <c r="AR490" s="87" t="s">
        <v>80</v>
      </c>
      <c r="AS490" s="82"/>
      <c r="AT490" s="87">
        <v>54</v>
      </c>
      <c r="AU490" s="87">
        <v>6</v>
      </c>
      <c r="AV490" s="87">
        <f t="shared" si="46"/>
        <v>60</v>
      </c>
      <c r="AW490" s="87" t="str">
        <f t="shared" si="50"/>
        <v>Ninguna</v>
      </c>
      <c r="AX490" s="87" t="s">
        <v>75</v>
      </c>
      <c r="AY490" s="87"/>
      <c r="AZ490" s="87"/>
      <c r="BA490" s="91" t="s">
        <v>2299</v>
      </c>
      <c r="BB490" s="84"/>
      <c r="BC490" s="85"/>
      <c r="BD490" s="85"/>
    </row>
    <row r="491" spans="1:56" s="86" customFormat="1" ht="46.5" customHeight="1">
      <c r="A491" s="87">
        <v>486</v>
      </c>
      <c r="B491" s="79" t="s">
        <v>2030</v>
      </c>
      <c r="C491" s="88">
        <v>45437</v>
      </c>
      <c r="D491" s="89">
        <v>0.625</v>
      </c>
      <c r="E491" s="87" t="s">
        <v>58</v>
      </c>
      <c r="F491" s="87" t="s">
        <v>61</v>
      </c>
      <c r="G491" s="87" t="s">
        <v>62</v>
      </c>
      <c r="H491" s="90" t="s">
        <v>2300</v>
      </c>
      <c r="I491" s="90" t="s">
        <v>172</v>
      </c>
      <c r="J491" s="87" t="s">
        <v>70</v>
      </c>
      <c r="K491" s="87" t="s">
        <v>300</v>
      </c>
      <c r="L491" s="90" t="s">
        <v>72</v>
      </c>
      <c r="M491" s="91" t="s">
        <v>72</v>
      </c>
      <c r="N491" s="90" t="s">
        <v>72</v>
      </c>
      <c r="O491" s="90" t="str">
        <f t="shared" si="47"/>
        <v>Distrital</v>
      </c>
      <c r="P491" s="87" t="s">
        <v>73</v>
      </c>
      <c r="Q491" s="87"/>
      <c r="R491" s="87"/>
      <c r="S491" s="87"/>
      <c r="T491" s="87"/>
      <c r="U491" s="87"/>
      <c r="V491" s="90" t="str">
        <f t="shared" si="48"/>
        <v>Distrital</v>
      </c>
      <c r="W491" s="87" t="s">
        <v>73</v>
      </c>
      <c r="X491" s="87"/>
      <c r="Y491" s="87"/>
      <c r="Z491" s="87"/>
      <c r="AA491" s="87"/>
      <c r="AB491" s="87"/>
      <c r="AC491" s="90" t="str">
        <f t="shared" si="49"/>
        <v>Distrital</v>
      </c>
      <c r="AD491" s="87" t="s">
        <v>73</v>
      </c>
      <c r="AE491" s="87"/>
      <c r="AF491" s="87"/>
      <c r="AG491" s="87"/>
      <c r="AH491" s="87"/>
      <c r="AI491" s="87"/>
      <c r="AJ491" s="87"/>
      <c r="AK491" s="87"/>
      <c r="AL491" s="87"/>
      <c r="AM491" s="87"/>
      <c r="AN491" s="90" t="s">
        <v>1739</v>
      </c>
      <c r="AO491" s="90" t="s">
        <v>1740</v>
      </c>
      <c r="AP491" s="82"/>
      <c r="AQ491" s="87" t="s">
        <v>60</v>
      </c>
      <c r="AR491" s="87" t="s">
        <v>1741</v>
      </c>
      <c r="AS491" s="82"/>
      <c r="AT491" s="87">
        <v>350</v>
      </c>
      <c r="AU491" s="87">
        <v>6</v>
      </c>
      <c r="AV491" s="87">
        <f>AT491+AU491</f>
        <v>356</v>
      </c>
      <c r="AW491" s="87" t="str">
        <f t="shared" si="50"/>
        <v>No Aplica</v>
      </c>
      <c r="AX491" s="87" t="s">
        <v>78</v>
      </c>
      <c r="AY491" s="87"/>
      <c r="AZ491" s="87"/>
      <c r="BA491" s="91" t="s">
        <v>2301</v>
      </c>
      <c r="BB491" s="84"/>
      <c r="BC491" s="85"/>
      <c r="BD491" s="85"/>
    </row>
    <row r="492" spans="1:56" s="86" customFormat="1" ht="46.5" customHeight="1">
      <c r="A492" s="78">
        <v>487</v>
      </c>
      <c r="B492" s="79" t="s">
        <v>2302</v>
      </c>
      <c r="C492" s="88">
        <v>45437</v>
      </c>
      <c r="D492" s="89">
        <v>0.70833333333333337</v>
      </c>
      <c r="E492" s="87" t="s">
        <v>562</v>
      </c>
      <c r="F492" s="87" t="s">
        <v>1472</v>
      </c>
      <c r="G492" s="87" t="s">
        <v>62</v>
      </c>
      <c r="H492" s="90" t="s">
        <v>2303</v>
      </c>
      <c r="I492" s="90" t="s">
        <v>128</v>
      </c>
      <c r="J492" s="87" t="s">
        <v>173</v>
      </c>
      <c r="K492" s="87"/>
      <c r="L492" s="90" t="s">
        <v>2304</v>
      </c>
      <c r="M492" s="91" t="s">
        <v>72</v>
      </c>
      <c r="N492" s="90" t="s">
        <v>2305</v>
      </c>
      <c r="O492" s="90" t="str">
        <f t="shared" si="47"/>
        <v>Distrital</v>
      </c>
      <c r="P492" s="87" t="s">
        <v>73</v>
      </c>
      <c r="Q492" s="87"/>
      <c r="R492" s="87"/>
      <c r="S492" s="87"/>
      <c r="T492" s="87"/>
      <c r="U492" s="87"/>
      <c r="V492" s="90" t="str">
        <f t="shared" si="48"/>
        <v>Distrital</v>
      </c>
      <c r="W492" s="87" t="s">
        <v>73</v>
      </c>
      <c r="X492" s="87"/>
      <c r="Y492" s="87"/>
      <c r="Z492" s="87"/>
      <c r="AA492" s="87"/>
      <c r="AB492" s="87"/>
      <c r="AC492" s="90" t="str">
        <f t="shared" si="49"/>
        <v>Distrital</v>
      </c>
      <c r="AD492" s="87" t="s">
        <v>73</v>
      </c>
      <c r="AE492" s="87"/>
      <c r="AF492" s="87"/>
      <c r="AG492" s="87"/>
      <c r="AH492" s="87"/>
      <c r="AI492" s="87"/>
      <c r="AJ492" s="87"/>
      <c r="AK492" s="87"/>
      <c r="AL492" s="87"/>
      <c r="AM492" s="87"/>
      <c r="AN492" s="90" t="s">
        <v>2306</v>
      </c>
      <c r="AO492" s="90" t="s">
        <v>2307</v>
      </c>
      <c r="AP492" s="82"/>
      <c r="AQ492" s="87" t="s">
        <v>59</v>
      </c>
      <c r="AR492" s="87" t="s">
        <v>80</v>
      </c>
      <c r="AS492" s="82"/>
      <c r="AT492" s="87">
        <v>100</v>
      </c>
      <c r="AU492" s="87">
        <v>2</v>
      </c>
      <c r="AV492" s="87">
        <f>AT492+AU492</f>
        <v>102</v>
      </c>
      <c r="AW492" s="87" t="str">
        <f t="shared" si="50"/>
        <v>No Aplica</v>
      </c>
      <c r="AX492" s="87" t="s">
        <v>78</v>
      </c>
      <c r="AY492" s="87"/>
      <c r="AZ492" s="87"/>
      <c r="BA492" s="91" t="s">
        <v>1947</v>
      </c>
      <c r="BB492" s="84"/>
      <c r="BC492" s="85"/>
      <c r="BD492" s="85"/>
    </row>
    <row r="493" spans="1:56" s="86" customFormat="1" ht="46.5" customHeight="1">
      <c r="A493" s="87">
        <v>488</v>
      </c>
      <c r="B493" s="79" t="s">
        <v>2308</v>
      </c>
      <c r="C493" s="88">
        <v>45439</v>
      </c>
      <c r="D493" s="89">
        <v>0.375</v>
      </c>
      <c r="E493" s="87" t="s">
        <v>58</v>
      </c>
      <c r="F493" s="87" t="s">
        <v>2227</v>
      </c>
      <c r="G493" s="87" t="s">
        <v>62</v>
      </c>
      <c r="H493" s="90" t="s">
        <v>2309</v>
      </c>
      <c r="I493" s="90" t="s">
        <v>172</v>
      </c>
      <c r="J493" s="87" t="s">
        <v>119</v>
      </c>
      <c r="K493" s="87" t="s">
        <v>120</v>
      </c>
      <c r="L493" s="90" t="s">
        <v>121</v>
      </c>
      <c r="M493" s="91">
        <v>3228657280</v>
      </c>
      <c r="N493" s="90" t="s">
        <v>2257</v>
      </c>
      <c r="O493" s="90" t="str">
        <f t="shared" si="47"/>
        <v>Teusaquillo</v>
      </c>
      <c r="P493" s="87" t="s">
        <v>665</v>
      </c>
      <c r="Q493" s="87"/>
      <c r="R493" s="87"/>
      <c r="S493" s="87"/>
      <c r="T493" s="87"/>
      <c r="U493" s="87"/>
      <c r="V493" s="90" t="str">
        <f t="shared" si="48"/>
        <v>Centro Ampliado</v>
      </c>
      <c r="W493" s="87" t="s">
        <v>415</v>
      </c>
      <c r="X493" s="87"/>
      <c r="Y493" s="87"/>
      <c r="Z493" s="87"/>
      <c r="AA493" s="87"/>
      <c r="AB493" s="87"/>
      <c r="AC493" s="90" t="str">
        <f t="shared" si="49"/>
        <v>Teusaquillo</v>
      </c>
      <c r="AD493" s="87" t="s">
        <v>665</v>
      </c>
      <c r="AE493" s="87"/>
      <c r="AF493" s="87"/>
      <c r="AG493" s="87"/>
      <c r="AH493" s="87"/>
      <c r="AI493" s="87"/>
      <c r="AJ493" s="87"/>
      <c r="AK493" s="87"/>
      <c r="AL493" s="87"/>
      <c r="AM493" s="87"/>
      <c r="AN493" s="90" t="s">
        <v>2310</v>
      </c>
      <c r="AO493" s="90" t="s">
        <v>2311</v>
      </c>
      <c r="AP493" s="82"/>
      <c r="AQ493" s="87" t="s">
        <v>59</v>
      </c>
      <c r="AR493" s="87" t="s">
        <v>80</v>
      </c>
      <c r="AS493" s="82"/>
      <c r="AT493" s="87">
        <v>3</v>
      </c>
      <c r="AU493" s="87">
        <v>5</v>
      </c>
      <c r="AV493" s="87">
        <f t="shared" si="46"/>
        <v>8</v>
      </c>
      <c r="AW493" s="87" t="str">
        <f t="shared" si="50"/>
        <v>Accesibilidad Universal, Horarios Acordes</v>
      </c>
      <c r="AX493" s="87" t="s">
        <v>246</v>
      </c>
      <c r="AY493" s="87" t="s">
        <v>213</v>
      </c>
      <c r="AZ493" s="87"/>
      <c r="BA493" s="91" t="s">
        <v>2312</v>
      </c>
      <c r="BB493" s="84"/>
      <c r="BC493" s="85"/>
      <c r="BD493" s="85"/>
    </row>
    <row r="494" spans="1:56" s="86" customFormat="1" ht="46.5" customHeight="1">
      <c r="A494" s="78">
        <v>489</v>
      </c>
      <c r="B494" s="79" t="s">
        <v>2313</v>
      </c>
      <c r="C494" s="88">
        <v>45439</v>
      </c>
      <c r="D494" s="89">
        <v>0.41666666666666669</v>
      </c>
      <c r="E494" s="87" t="s">
        <v>58</v>
      </c>
      <c r="F494" s="87" t="s">
        <v>1142</v>
      </c>
      <c r="G494" s="87" t="s">
        <v>95</v>
      </c>
      <c r="H494" s="90" t="s">
        <v>2314</v>
      </c>
      <c r="I494" s="90" t="s">
        <v>64</v>
      </c>
      <c r="J494" s="87" t="s">
        <v>70</v>
      </c>
      <c r="K494" s="87"/>
      <c r="L494" s="90" t="s">
        <v>1272</v>
      </c>
      <c r="M494" s="91">
        <v>3188153382</v>
      </c>
      <c r="N494" s="90" t="s">
        <v>1273</v>
      </c>
      <c r="O494" s="90" t="str">
        <f t="shared" si="47"/>
        <v>Distrital</v>
      </c>
      <c r="P494" s="87" t="s">
        <v>73</v>
      </c>
      <c r="Q494" s="87"/>
      <c r="R494" s="87"/>
      <c r="S494" s="87"/>
      <c r="T494" s="87"/>
      <c r="U494" s="87"/>
      <c r="V494" s="90" t="str">
        <f t="shared" si="48"/>
        <v>Distrital</v>
      </c>
      <c r="W494" s="87" t="s">
        <v>73</v>
      </c>
      <c r="X494" s="87"/>
      <c r="Y494" s="87"/>
      <c r="Z494" s="87"/>
      <c r="AA494" s="87"/>
      <c r="AB494" s="87"/>
      <c r="AC494" s="90" t="str">
        <f t="shared" si="49"/>
        <v>Distrital</v>
      </c>
      <c r="AD494" s="87" t="s">
        <v>73</v>
      </c>
      <c r="AE494" s="87"/>
      <c r="AF494" s="87"/>
      <c r="AG494" s="87"/>
      <c r="AH494" s="87"/>
      <c r="AI494" s="87"/>
      <c r="AJ494" s="87"/>
      <c r="AK494" s="87"/>
      <c r="AL494" s="87"/>
      <c r="AM494" s="87"/>
      <c r="AN494" s="90" t="s">
        <v>160</v>
      </c>
      <c r="AO494" s="92" t="s">
        <v>2315</v>
      </c>
      <c r="AP494" s="82"/>
      <c r="AQ494" s="87" t="s">
        <v>59</v>
      </c>
      <c r="AR494" s="87" t="s">
        <v>80</v>
      </c>
      <c r="AS494" s="82"/>
      <c r="AT494" s="87">
        <v>3</v>
      </c>
      <c r="AU494" s="87">
        <v>3</v>
      </c>
      <c r="AV494" s="87">
        <f t="shared" si="46"/>
        <v>6</v>
      </c>
      <c r="AW494" s="87" t="str">
        <f t="shared" si="50"/>
        <v>Ninguna</v>
      </c>
      <c r="AX494" s="87" t="s">
        <v>75</v>
      </c>
      <c r="AY494" s="87"/>
      <c r="AZ494" s="87"/>
      <c r="BA494" s="91" t="s">
        <v>2316</v>
      </c>
      <c r="BB494" s="84"/>
      <c r="BC494" s="85"/>
      <c r="BD494" s="85"/>
    </row>
    <row r="495" spans="1:56" s="86" customFormat="1" ht="46.5" customHeight="1">
      <c r="A495" s="87">
        <v>490</v>
      </c>
      <c r="B495" s="79" t="s">
        <v>2317</v>
      </c>
      <c r="C495" s="88">
        <v>45439</v>
      </c>
      <c r="D495" s="89">
        <v>0.60416666666666663</v>
      </c>
      <c r="E495" s="87" t="s">
        <v>58</v>
      </c>
      <c r="F495" s="87" t="s">
        <v>135</v>
      </c>
      <c r="G495" s="87" t="s">
        <v>62</v>
      </c>
      <c r="H495" s="90" t="s">
        <v>2318</v>
      </c>
      <c r="I495" s="90" t="s">
        <v>64</v>
      </c>
      <c r="J495" s="87" t="s">
        <v>70</v>
      </c>
      <c r="K495" s="87" t="s">
        <v>71</v>
      </c>
      <c r="L495" s="90" t="s">
        <v>72</v>
      </c>
      <c r="M495" s="91" t="s">
        <v>72</v>
      </c>
      <c r="N495" s="90" t="s">
        <v>72</v>
      </c>
      <c r="O495" s="90" t="str">
        <f t="shared" si="47"/>
        <v>Distrital</v>
      </c>
      <c r="P495" s="87" t="s">
        <v>73</v>
      </c>
      <c r="Q495" s="87"/>
      <c r="R495" s="87"/>
      <c r="S495" s="87"/>
      <c r="T495" s="87"/>
      <c r="U495" s="87"/>
      <c r="V495" s="90" t="str">
        <f t="shared" si="48"/>
        <v>Distrital</v>
      </c>
      <c r="W495" s="87" t="s">
        <v>73</v>
      </c>
      <c r="X495" s="87"/>
      <c r="Y495" s="87"/>
      <c r="Z495" s="87"/>
      <c r="AA495" s="87"/>
      <c r="AB495" s="87"/>
      <c r="AC495" s="90" t="str">
        <f t="shared" si="49"/>
        <v>Distrital</v>
      </c>
      <c r="AD495" s="87" t="s">
        <v>73</v>
      </c>
      <c r="AE495" s="87"/>
      <c r="AF495" s="87"/>
      <c r="AG495" s="87"/>
      <c r="AH495" s="87"/>
      <c r="AI495" s="87"/>
      <c r="AJ495" s="87"/>
      <c r="AK495" s="87"/>
      <c r="AL495" s="87"/>
      <c r="AM495" s="87"/>
      <c r="AN495" s="90" t="s">
        <v>160</v>
      </c>
      <c r="AO495" s="90" t="s">
        <v>2319</v>
      </c>
      <c r="AP495" s="82"/>
      <c r="AQ495" s="87" t="s">
        <v>59</v>
      </c>
      <c r="AR495" s="87" t="s">
        <v>80</v>
      </c>
      <c r="AS495" s="82"/>
      <c r="AT495" s="87">
        <v>0</v>
      </c>
      <c r="AU495" s="87">
        <v>12</v>
      </c>
      <c r="AV495" s="87">
        <f>AT495+AU495</f>
        <v>12</v>
      </c>
      <c r="AW495" s="87" t="str">
        <f t="shared" si="50"/>
        <v>Ninguna</v>
      </c>
      <c r="AX495" s="87" t="s">
        <v>75</v>
      </c>
      <c r="AY495" s="87"/>
      <c r="AZ495" s="87"/>
      <c r="BA495" s="91" t="s">
        <v>2320</v>
      </c>
      <c r="BB495" s="84"/>
      <c r="BC495" s="85"/>
      <c r="BD495" s="85"/>
    </row>
    <row r="496" spans="1:56" s="86" customFormat="1" ht="46.5" customHeight="1">
      <c r="A496" s="78">
        <v>491</v>
      </c>
      <c r="B496" s="79" t="s">
        <v>2027</v>
      </c>
      <c r="C496" s="88">
        <v>45440</v>
      </c>
      <c r="D496" s="89">
        <v>0.375</v>
      </c>
      <c r="E496" s="87" t="s">
        <v>58</v>
      </c>
      <c r="F496" s="87" t="s">
        <v>61</v>
      </c>
      <c r="G496" s="87" t="s">
        <v>62</v>
      </c>
      <c r="H496" s="90" t="s">
        <v>1904</v>
      </c>
      <c r="I496" s="90" t="s">
        <v>172</v>
      </c>
      <c r="J496" s="87" t="s">
        <v>70</v>
      </c>
      <c r="K496" s="87" t="s">
        <v>300</v>
      </c>
      <c r="L496" s="90" t="s">
        <v>72</v>
      </c>
      <c r="M496" s="91" t="s">
        <v>72</v>
      </c>
      <c r="N496" s="90" t="s">
        <v>72</v>
      </c>
      <c r="O496" s="90" t="str">
        <f t="shared" si="47"/>
        <v>Distrital</v>
      </c>
      <c r="P496" s="87" t="s">
        <v>73</v>
      </c>
      <c r="Q496" s="87"/>
      <c r="R496" s="87"/>
      <c r="S496" s="87"/>
      <c r="T496" s="87"/>
      <c r="U496" s="87"/>
      <c r="V496" s="90" t="str">
        <f t="shared" si="48"/>
        <v>Distrital</v>
      </c>
      <c r="W496" s="87" t="s">
        <v>73</v>
      </c>
      <c r="X496" s="87"/>
      <c r="Y496" s="87"/>
      <c r="Z496" s="87"/>
      <c r="AA496" s="87"/>
      <c r="AB496" s="87"/>
      <c r="AC496" s="90" t="str">
        <f t="shared" si="49"/>
        <v>Distrital</v>
      </c>
      <c r="AD496" s="87" t="s">
        <v>73</v>
      </c>
      <c r="AE496" s="87"/>
      <c r="AF496" s="87"/>
      <c r="AG496" s="87"/>
      <c r="AH496" s="87"/>
      <c r="AI496" s="87"/>
      <c r="AJ496" s="87"/>
      <c r="AK496" s="87"/>
      <c r="AL496" s="87"/>
      <c r="AM496" s="87"/>
      <c r="AN496" s="90" t="s">
        <v>1739</v>
      </c>
      <c r="AO496" s="90" t="s">
        <v>1740</v>
      </c>
      <c r="AP496" s="82"/>
      <c r="AQ496" s="87" t="s">
        <v>60</v>
      </c>
      <c r="AR496" s="87" t="s">
        <v>1741</v>
      </c>
      <c r="AS496" s="82"/>
      <c r="AT496" s="87">
        <v>216</v>
      </c>
      <c r="AU496" s="87">
        <v>7</v>
      </c>
      <c r="AV496" s="87">
        <f t="shared" si="46"/>
        <v>223</v>
      </c>
      <c r="AW496" s="87" t="str">
        <f t="shared" si="50"/>
        <v>Lenguaje de señas, Horarios Acordes</v>
      </c>
      <c r="AX496" s="87" t="s">
        <v>211</v>
      </c>
      <c r="AY496" s="87" t="s">
        <v>213</v>
      </c>
      <c r="AZ496" s="87"/>
      <c r="BA496" s="91" t="s">
        <v>2321</v>
      </c>
      <c r="BB496" s="84"/>
      <c r="BC496" s="85"/>
      <c r="BD496" s="85"/>
    </row>
    <row r="497" spans="1:56" s="86" customFormat="1" ht="46.5" customHeight="1">
      <c r="A497" s="87">
        <v>492</v>
      </c>
      <c r="B497" s="79" t="s">
        <v>2322</v>
      </c>
      <c r="C497" s="88">
        <v>45440</v>
      </c>
      <c r="D497" s="89">
        <v>0.375</v>
      </c>
      <c r="E497" s="87" t="s">
        <v>58</v>
      </c>
      <c r="F497" s="87" t="s">
        <v>61</v>
      </c>
      <c r="G497" s="87" t="s">
        <v>62</v>
      </c>
      <c r="H497" s="90" t="s">
        <v>2323</v>
      </c>
      <c r="I497" s="90" t="s">
        <v>172</v>
      </c>
      <c r="J497" s="87" t="s">
        <v>173</v>
      </c>
      <c r="K497" s="87"/>
      <c r="L497" s="90" t="s">
        <v>2324</v>
      </c>
      <c r="M497" s="91" t="s">
        <v>72</v>
      </c>
      <c r="N497" s="90" t="s">
        <v>2325</v>
      </c>
      <c r="O497" s="90" t="str">
        <f t="shared" si="47"/>
        <v>Distrital</v>
      </c>
      <c r="P497" s="87" t="s">
        <v>73</v>
      </c>
      <c r="Q497" s="87"/>
      <c r="R497" s="87"/>
      <c r="S497" s="87"/>
      <c r="T497" s="87"/>
      <c r="U497" s="87"/>
      <c r="V497" s="90" t="str">
        <f t="shared" si="48"/>
        <v>Distrital</v>
      </c>
      <c r="W497" s="87" t="s">
        <v>73</v>
      </c>
      <c r="X497" s="87"/>
      <c r="Y497" s="87"/>
      <c r="Z497" s="87"/>
      <c r="AA497" s="87"/>
      <c r="AB497" s="87"/>
      <c r="AC497" s="90" t="str">
        <f t="shared" si="49"/>
        <v>Distrital</v>
      </c>
      <c r="AD497" s="87" t="s">
        <v>73</v>
      </c>
      <c r="AE497" s="87"/>
      <c r="AF497" s="87"/>
      <c r="AG497" s="87"/>
      <c r="AH497" s="87"/>
      <c r="AI497" s="87"/>
      <c r="AJ497" s="87"/>
      <c r="AK497" s="87"/>
      <c r="AL497" s="87"/>
      <c r="AM497" s="87"/>
      <c r="AN497" s="90" t="s">
        <v>160</v>
      </c>
      <c r="AO497" s="90" t="s">
        <v>2326</v>
      </c>
      <c r="AP497" s="82"/>
      <c r="AQ497" s="87" t="s">
        <v>60</v>
      </c>
      <c r="AR497" s="87" t="s">
        <v>1741</v>
      </c>
      <c r="AS497" s="82"/>
      <c r="AT497" s="87">
        <v>19</v>
      </c>
      <c r="AU497" s="87">
        <v>4</v>
      </c>
      <c r="AV497" s="87">
        <f t="shared" si="46"/>
        <v>23</v>
      </c>
      <c r="AW497" s="87" t="str">
        <f t="shared" si="50"/>
        <v>Ninguna</v>
      </c>
      <c r="AX497" s="87" t="s">
        <v>75</v>
      </c>
      <c r="AY497" s="87"/>
      <c r="AZ497" s="87"/>
      <c r="BA497" s="91" t="s">
        <v>2327</v>
      </c>
      <c r="BB497" s="84"/>
      <c r="BC497" s="85"/>
      <c r="BD497" s="85"/>
    </row>
    <row r="498" spans="1:56" s="86" customFormat="1" ht="46.5" customHeight="1">
      <c r="A498" s="78">
        <v>493</v>
      </c>
      <c r="B498" s="79" t="s">
        <v>2328</v>
      </c>
      <c r="C498" s="88">
        <v>45440</v>
      </c>
      <c r="D498" s="89">
        <v>0.39583333333333331</v>
      </c>
      <c r="E498" s="87" t="s">
        <v>353</v>
      </c>
      <c r="F498" s="87" t="s">
        <v>149</v>
      </c>
      <c r="G498" s="87" t="s">
        <v>62</v>
      </c>
      <c r="H498" s="90" t="s">
        <v>2329</v>
      </c>
      <c r="I498" s="90" t="s">
        <v>64</v>
      </c>
      <c r="J498" s="87" t="s">
        <v>376</v>
      </c>
      <c r="K498" s="87" t="s">
        <v>2330</v>
      </c>
      <c r="L498" s="91" t="s">
        <v>1317</v>
      </c>
      <c r="M498" s="91" t="s">
        <v>1317</v>
      </c>
      <c r="N498" s="91" t="s">
        <v>1317</v>
      </c>
      <c r="O498" s="90" t="str">
        <f t="shared" si="47"/>
        <v>Distrital</v>
      </c>
      <c r="P498" s="87" t="s">
        <v>73</v>
      </c>
      <c r="Q498" s="87"/>
      <c r="R498" s="87"/>
      <c r="S498" s="87"/>
      <c r="T498" s="87"/>
      <c r="U498" s="87"/>
      <c r="V498" s="90" t="str">
        <f t="shared" si="48"/>
        <v>Distrital</v>
      </c>
      <c r="W498" s="87" t="s">
        <v>73</v>
      </c>
      <c r="X498" s="87"/>
      <c r="Y498" s="87"/>
      <c r="Z498" s="87"/>
      <c r="AA498" s="87"/>
      <c r="AB498" s="87"/>
      <c r="AC498" s="90" t="str">
        <f t="shared" si="49"/>
        <v>Distrital</v>
      </c>
      <c r="AD498" s="87" t="s">
        <v>73</v>
      </c>
      <c r="AE498" s="87"/>
      <c r="AF498" s="87"/>
      <c r="AG498" s="87"/>
      <c r="AH498" s="87"/>
      <c r="AI498" s="87"/>
      <c r="AJ498" s="87"/>
      <c r="AK498" s="87"/>
      <c r="AL498" s="87"/>
      <c r="AM498" s="87"/>
      <c r="AN498" s="90" t="s">
        <v>258</v>
      </c>
      <c r="AO498" s="90" t="s">
        <v>402</v>
      </c>
      <c r="AP498" s="82"/>
      <c r="AQ498" s="87" t="s">
        <v>59</v>
      </c>
      <c r="AR498" s="87" t="s">
        <v>80</v>
      </c>
      <c r="AS498" s="82"/>
      <c r="AT498" s="87">
        <v>4</v>
      </c>
      <c r="AU498" s="87">
        <v>2</v>
      </c>
      <c r="AV498" s="87">
        <f t="shared" si="46"/>
        <v>6</v>
      </c>
      <c r="AW498" s="87" t="str">
        <f t="shared" si="50"/>
        <v>Ninguna</v>
      </c>
      <c r="AX498" s="87" t="s">
        <v>75</v>
      </c>
      <c r="AY498" s="87"/>
      <c r="AZ498" s="87"/>
      <c r="BA498" s="91" t="s">
        <v>2331</v>
      </c>
      <c r="BB498" s="84"/>
      <c r="BC498" s="85"/>
      <c r="BD498" s="85"/>
    </row>
    <row r="499" spans="1:56" s="86" customFormat="1" ht="46.5" customHeight="1">
      <c r="A499" s="87">
        <v>494</v>
      </c>
      <c r="B499" s="79" t="s">
        <v>2332</v>
      </c>
      <c r="C499" s="88">
        <v>45440</v>
      </c>
      <c r="D499" s="89">
        <v>0.41666666666666669</v>
      </c>
      <c r="E499" s="87" t="s">
        <v>58</v>
      </c>
      <c r="F499" s="87" t="s">
        <v>149</v>
      </c>
      <c r="G499" s="87" t="s">
        <v>62</v>
      </c>
      <c r="H499" s="90" t="s">
        <v>2333</v>
      </c>
      <c r="I499" s="90" t="s">
        <v>64</v>
      </c>
      <c r="J499" s="87" t="s">
        <v>70</v>
      </c>
      <c r="K499" s="87"/>
      <c r="L499" s="90" t="s">
        <v>2334</v>
      </c>
      <c r="M499" s="91" t="s">
        <v>72</v>
      </c>
      <c r="N499" s="91" t="s">
        <v>72</v>
      </c>
      <c r="O499" s="90" t="str">
        <f t="shared" si="47"/>
        <v>Distrital</v>
      </c>
      <c r="P499" s="87" t="s">
        <v>73</v>
      </c>
      <c r="Q499" s="87"/>
      <c r="R499" s="87"/>
      <c r="S499" s="87"/>
      <c r="T499" s="87"/>
      <c r="U499" s="87"/>
      <c r="V499" s="90" t="str">
        <f t="shared" si="48"/>
        <v>Distrital</v>
      </c>
      <c r="W499" s="87" t="s">
        <v>73</v>
      </c>
      <c r="X499" s="87"/>
      <c r="Y499" s="87"/>
      <c r="Z499" s="87"/>
      <c r="AA499" s="87"/>
      <c r="AB499" s="87"/>
      <c r="AC499" s="90" t="str">
        <f t="shared" si="49"/>
        <v>Distrital</v>
      </c>
      <c r="AD499" s="87" t="s">
        <v>73</v>
      </c>
      <c r="AE499" s="87"/>
      <c r="AF499" s="87"/>
      <c r="AG499" s="87"/>
      <c r="AH499" s="87"/>
      <c r="AI499" s="87"/>
      <c r="AJ499" s="87"/>
      <c r="AK499" s="87"/>
      <c r="AL499" s="87"/>
      <c r="AM499" s="87"/>
      <c r="AN499" s="90" t="s">
        <v>160</v>
      </c>
      <c r="AO499" s="90" t="s">
        <v>2335</v>
      </c>
      <c r="AP499" s="82"/>
      <c r="AQ499" s="87" t="s">
        <v>59</v>
      </c>
      <c r="AR499" s="87" t="s">
        <v>80</v>
      </c>
      <c r="AS499" s="82"/>
      <c r="AT499" s="87">
        <v>250</v>
      </c>
      <c r="AU499" s="87">
        <v>2</v>
      </c>
      <c r="AV499" s="87">
        <f>AT499+AU499</f>
        <v>252</v>
      </c>
      <c r="AW499" s="87" t="str">
        <f t="shared" si="50"/>
        <v>Horarios Acordes</v>
      </c>
      <c r="AX499" s="87" t="s">
        <v>213</v>
      </c>
      <c r="AY499" s="87"/>
      <c r="AZ499" s="87"/>
      <c r="BA499" s="91" t="s">
        <v>2336</v>
      </c>
      <c r="BB499" s="84"/>
      <c r="BC499" s="85"/>
      <c r="BD499" s="85"/>
    </row>
    <row r="500" spans="1:56" s="86" customFormat="1" ht="46.5" customHeight="1">
      <c r="A500" s="78">
        <v>495</v>
      </c>
      <c r="B500" s="79" t="s">
        <v>2337</v>
      </c>
      <c r="C500" s="88">
        <v>45440</v>
      </c>
      <c r="D500" s="89">
        <v>0.45833333333333331</v>
      </c>
      <c r="E500" s="87" t="s">
        <v>93</v>
      </c>
      <c r="F500" s="87" t="s">
        <v>321</v>
      </c>
      <c r="G500" s="87" t="s">
        <v>62</v>
      </c>
      <c r="H500" s="90" t="s">
        <v>2338</v>
      </c>
      <c r="I500" s="90" t="s">
        <v>64</v>
      </c>
      <c r="J500" s="87" t="s">
        <v>70</v>
      </c>
      <c r="K500" s="87" t="s">
        <v>1810</v>
      </c>
      <c r="L500" s="90" t="s">
        <v>1811</v>
      </c>
      <c r="M500" s="91" t="s">
        <v>1317</v>
      </c>
      <c r="N500" s="90" t="s">
        <v>486</v>
      </c>
      <c r="O500" s="90" t="str">
        <f t="shared" si="47"/>
        <v>Los Mártires</v>
      </c>
      <c r="P500" s="87" t="s">
        <v>542</v>
      </c>
      <c r="Q500" s="87"/>
      <c r="R500" s="87"/>
      <c r="S500" s="87"/>
      <c r="T500" s="87"/>
      <c r="U500" s="87"/>
      <c r="V500" s="90" t="str">
        <f t="shared" si="48"/>
        <v>Centro Ampliado</v>
      </c>
      <c r="W500" s="87" t="s">
        <v>415</v>
      </c>
      <c r="X500" s="87"/>
      <c r="Y500" s="87"/>
      <c r="Z500" s="87"/>
      <c r="AA500" s="87"/>
      <c r="AB500" s="87"/>
      <c r="AC500" s="90" t="str">
        <f t="shared" si="49"/>
        <v>Centro Histórico</v>
      </c>
      <c r="AD500" s="87" t="s">
        <v>488</v>
      </c>
      <c r="AE500" s="87"/>
      <c r="AF500" s="87"/>
      <c r="AG500" s="87"/>
      <c r="AH500" s="87"/>
      <c r="AI500" s="87"/>
      <c r="AJ500" s="87"/>
      <c r="AK500" s="87"/>
      <c r="AL500" s="87"/>
      <c r="AM500" s="87"/>
      <c r="AN500" s="90" t="s">
        <v>2339</v>
      </c>
      <c r="AO500" s="90" t="s">
        <v>2340</v>
      </c>
      <c r="AP500" s="82"/>
      <c r="AQ500" s="87" t="s">
        <v>59</v>
      </c>
      <c r="AR500" s="87" t="s">
        <v>80</v>
      </c>
      <c r="AS500" s="82"/>
      <c r="AT500" s="87">
        <v>13</v>
      </c>
      <c r="AU500" s="87">
        <v>1</v>
      </c>
      <c r="AV500" s="87">
        <f>AT500+AU500</f>
        <v>14</v>
      </c>
      <c r="AW500" s="87" t="str">
        <f t="shared" si="50"/>
        <v>Ninguna</v>
      </c>
      <c r="AX500" s="87" t="s">
        <v>75</v>
      </c>
      <c r="AY500" s="87"/>
      <c r="AZ500" s="87"/>
      <c r="BA500" s="91" t="s">
        <v>2341</v>
      </c>
      <c r="BB500" s="84"/>
      <c r="BC500" s="85"/>
      <c r="BD500" s="85"/>
    </row>
    <row r="501" spans="1:56" s="86" customFormat="1" ht="46.5" customHeight="1">
      <c r="A501" s="87">
        <v>496</v>
      </c>
      <c r="B501" s="79" t="s">
        <v>2342</v>
      </c>
      <c r="C501" s="88">
        <v>45440</v>
      </c>
      <c r="D501" s="89">
        <v>0.58333333333333337</v>
      </c>
      <c r="E501" s="87" t="s">
        <v>58</v>
      </c>
      <c r="F501" s="87" t="s">
        <v>102</v>
      </c>
      <c r="G501" s="87" t="s">
        <v>62</v>
      </c>
      <c r="H501" s="90" t="s">
        <v>2343</v>
      </c>
      <c r="I501" s="90" t="s">
        <v>118</v>
      </c>
      <c r="J501" s="87" t="s">
        <v>119</v>
      </c>
      <c r="K501" s="87" t="s">
        <v>129</v>
      </c>
      <c r="L501" s="90" t="s">
        <v>1286</v>
      </c>
      <c r="M501" s="91">
        <v>3108148740</v>
      </c>
      <c r="N501" s="90" t="s">
        <v>439</v>
      </c>
      <c r="O501" s="90" t="str">
        <f t="shared" si="47"/>
        <v>Distrital</v>
      </c>
      <c r="P501" s="87" t="s">
        <v>73</v>
      </c>
      <c r="Q501" s="87"/>
      <c r="R501" s="87"/>
      <c r="S501" s="87"/>
      <c r="T501" s="87"/>
      <c r="U501" s="87"/>
      <c r="V501" s="90" t="str">
        <f t="shared" si="48"/>
        <v>Distrital</v>
      </c>
      <c r="W501" s="87" t="s">
        <v>73</v>
      </c>
      <c r="X501" s="87"/>
      <c r="Y501" s="87"/>
      <c r="Z501" s="87"/>
      <c r="AA501" s="87"/>
      <c r="AB501" s="87"/>
      <c r="AC501" s="90" t="str">
        <f t="shared" si="49"/>
        <v>Distrital</v>
      </c>
      <c r="AD501" s="87" t="s">
        <v>73</v>
      </c>
      <c r="AE501" s="87"/>
      <c r="AF501" s="87"/>
      <c r="AG501" s="87"/>
      <c r="AH501" s="87"/>
      <c r="AI501" s="87"/>
      <c r="AJ501" s="87"/>
      <c r="AK501" s="87"/>
      <c r="AL501" s="87"/>
      <c r="AM501" s="87"/>
      <c r="AN501" s="90" t="s">
        <v>129</v>
      </c>
      <c r="AO501" s="90" t="s">
        <v>2344</v>
      </c>
      <c r="AP501" s="82"/>
      <c r="AQ501" s="87" t="s">
        <v>59</v>
      </c>
      <c r="AR501" s="87" t="s">
        <v>80</v>
      </c>
      <c r="AS501" s="82"/>
      <c r="AT501" s="87">
        <v>6</v>
      </c>
      <c r="AU501" s="87">
        <v>4</v>
      </c>
      <c r="AV501" s="87">
        <f t="shared" si="46"/>
        <v>10</v>
      </c>
      <c r="AW501" s="87" t="str">
        <f t="shared" si="50"/>
        <v>Ninguna</v>
      </c>
      <c r="AX501" s="87" t="s">
        <v>75</v>
      </c>
      <c r="AY501" s="87"/>
      <c r="AZ501" s="87"/>
      <c r="BA501" s="91" t="s">
        <v>2343</v>
      </c>
      <c r="BB501" s="84"/>
      <c r="BC501" s="85"/>
      <c r="BD501" s="85"/>
    </row>
    <row r="502" spans="1:56" s="86" customFormat="1" ht="46.5" customHeight="1">
      <c r="A502" s="78">
        <v>497</v>
      </c>
      <c r="B502" s="79" t="s">
        <v>2345</v>
      </c>
      <c r="C502" s="88">
        <v>45440</v>
      </c>
      <c r="D502" s="89">
        <v>0.625</v>
      </c>
      <c r="E502" s="87" t="s">
        <v>58</v>
      </c>
      <c r="F502" s="87" t="s">
        <v>1205</v>
      </c>
      <c r="G502" s="87" t="s">
        <v>62</v>
      </c>
      <c r="H502" s="90" t="s">
        <v>2346</v>
      </c>
      <c r="I502" s="90" t="s">
        <v>118</v>
      </c>
      <c r="J502" s="87" t="s">
        <v>70</v>
      </c>
      <c r="K502" s="87" t="s">
        <v>71</v>
      </c>
      <c r="L502" s="90" t="s">
        <v>2347</v>
      </c>
      <c r="M502" s="91">
        <v>3173738376</v>
      </c>
      <c r="N502" s="90" t="s">
        <v>1966</v>
      </c>
      <c r="O502" s="90" t="str">
        <f t="shared" si="47"/>
        <v>Distrital</v>
      </c>
      <c r="P502" s="87" t="s">
        <v>73</v>
      </c>
      <c r="Q502" s="87"/>
      <c r="R502" s="87"/>
      <c r="S502" s="87"/>
      <c r="T502" s="87"/>
      <c r="U502" s="87"/>
      <c r="V502" s="90" t="str">
        <f t="shared" si="48"/>
        <v>Distrital</v>
      </c>
      <c r="W502" s="87" t="s">
        <v>73</v>
      </c>
      <c r="X502" s="87"/>
      <c r="Y502" s="87"/>
      <c r="Z502" s="87"/>
      <c r="AA502" s="87"/>
      <c r="AB502" s="87"/>
      <c r="AC502" s="90" t="str">
        <f t="shared" si="49"/>
        <v>Distrital</v>
      </c>
      <c r="AD502" s="87" t="s">
        <v>73</v>
      </c>
      <c r="AE502" s="87"/>
      <c r="AF502" s="87"/>
      <c r="AG502" s="87"/>
      <c r="AH502" s="87"/>
      <c r="AI502" s="87"/>
      <c r="AJ502" s="87"/>
      <c r="AK502" s="87"/>
      <c r="AL502" s="87"/>
      <c r="AM502" s="87"/>
      <c r="AN502" s="90" t="s">
        <v>160</v>
      </c>
      <c r="AO502" s="90" t="s">
        <v>2348</v>
      </c>
      <c r="AP502" s="82"/>
      <c r="AQ502" s="87" t="s">
        <v>59</v>
      </c>
      <c r="AR502" s="87" t="s">
        <v>80</v>
      </c>
      <c r="AS502" s="82"/>
      <c r="AT502" s="87">
        <v>11</v>
      </c>
      <c r="AU502" s="87">
        <v>5</v>
      </c>
      <c r="AV502" s="87">
        <f>AT502+AU502</f>
        <v>16</v>
      </c>
      <c r="AW502" s="87" t="str">
        <f t="shared" si="50"/>
        <v>Ninguna</v>
      </c>
      <c r="AX502" s="87" t="s">
        <v>75</v>
      </c>
      <c r="AY502" s="87"/>
      <c r="AZ502" s="87"/>
      <c r="BA502" s="91" t="s">
        <v>2349</v>
      </c>
      <c r="BB502" s="84"/>
      <c r="BC502" s="85"/>
      <c r="BD502" s="85"/>
    </row>
    <row r="503" spans="1:56" s="86" customFormat="1" ht="46.5" customHeight="1">
      <c r="A503" s="87">
        <v>498</v>
      </c>
      <c r="B503" s="79" t="s">
        <v>2030</v>
      </c>
      <c r="C503" s="88">
        <v>45440</v>
      </c>
      <c r="D503" s="89">
        <v>0.625</v>
      </c>
      <c r="E503" s="87" t="s">
        <v>58</v>
      </c>
      <c r="F503" s="87" t="s">
        <v>61</v>
      </c>
      <c r="G503" s="87" t="s">
        <v>62</v>
      </c>
      <c r="H503" s="90" t="s">
        <v>1904</v>
      </c>
      <c r="I503" s="90" t="s">
        <v>172</v>
      </c>
      <c r="J503" s="87" t="s">
        <v>70</v>
      </c>
      <c r="K503" s="87" t="s">
        <v>300</v>
      </c>
      <c r="L503" s="90" t="s">
        <v>72</v>
      </c>
      <c r="M503" s="91" t="s">
        <v>72</v>
      </c>
      <c r="N503" s="90" t="s">
        <v>72</v>
      </c>
      <c r="O503" s="90" t="str">
        <f t="shared" si="47"/>
        <v>Distrital</v>
      </c>
      <c r="P503" s="87" t="s">
        <v>73</v>
      </c>
      <c r="Q503" s="87"/>
      <c r="R503" s="87"/>
      <c r="S503" s="87"/>
      <c r="T503" s="87"/>
      <c r="U503" s="87"/>
      <c r="V503" s="90" t="str">
        <f t="shared" si="48"/>
        <v>Distrital</v>
      </c>
      <c r="W503" s="87" t="s">
        <v>73</v>
      </c>
      <c r="X503" s="87"/>
      <c r="Y503" s="87"/>
      <c r="Z503" s="87"/>
      <c r="AA503" s="87"/>
      <c r="AB503" s="87"/>
      <c r="AC503" s="90" t="str">
        <f t="shared" si="49"/>
        <v>Distrital</v>
      </c>
      <c r="AD503" s="87" t="s">
        <v>73</v>
      </c>
      <c r="AE503" s="87"/>
      <c r="AF503" s="87"/>
      <c r="AG503" s="87"/>
      <c r="AH503" s="87"/>
      <c r="AI503" s="87"/>
      <c r="AJ503" s="87"/>
      <c r="AK503" s="87"/>
      <c r="AL503" s="87"/>
      <c r="AM503" s="87"/>
      <c r="AN503" s="90" t="s">
        <v>1739</v>
      </c>
      <c r="AO503" s="90" t="s">
        <v>1740</v>
      </c>
      <c r="AP503" s="82"/>
      <c r="AQ503" s="87" t="s">
        <v>60</v>
      </c>
      <c r="AR503" s="87" t="s">
        <v>1741</v>
      </c>
      <c r="AS503" s="82"/>
      <c r="AT503" s="87">
        <v>246</v>
      </c>
      <c r="AU503" s="87">
        <v>8</v>
      </c>
      <c r="AV503" s="87">
        <f>AT503+AU503</f>
        <v>254</v>
      </c>
      <c r="AW503" s="87" t="str">
        <f t="shared" si="50"/>
        <v>Ninguna</v>
      </c>
      <c r="AX503" s="87" t="s">
        <v>75</v>
      </c>
      <c r="AY503" s="87"/>
      <c r="AZ503" s="87"/>
      <c r="BA503" s="91" t="s">
        <v>2350</v>
      </c>
      <c r="BB503" s="84"/>
      <c r="BC503" s="85"/>
      <c r="BD503" s="85"/>
    </row>
    <row r="504" spans="1:56" s="86" customFormat="1" ht="46.5" customHeight="1">
      <c r="A504" s="78">
        <v>499</v>
      </c>
      <c r="B504" s="79" t="s">
        <v>2351</v>
      </c>
      <c r="C504" s="88">
        <v>45441</v>
      </c>
      <c r="D504" s="89">
        <v>0.33333333333333331</v>
      </c>
      <c r="E504" s="87" t="s">
        <v>93</v>
      </c>
      <c r="F504" s="87" t="s">
        <v>94</v>
      </c>
      <c r="G504" s="87" t="s">
        <v>62</v>
      </c>
      <c r="H504" s="90" t="s">
        <v>2352</v>
      </c>
      <c r="I504" s="90" t="s">
        <v>64</v>
      </c>
      <c r="J504" s="87" t="s">
        <v>70</v>
      </c>
      <c r="K504" s="87"/>
      <c r="L504" s="90" t="s">
        <v>98</v>
      </c>
      <c r="M504" s="91" t="s">
        <v>72</v>
      </c>
      <c r="N504" s="90" t="s">
        <v>2353</v>
      </c>
      <c r="O504" s="90" t="str">
        <f t="shared" si="47"/>
        <v>Distrital</v>
      </c>
      <c r="P504" s="87" t="s">
        <v>73</v>
      </c>
      <c r="Q504" s="87"/>
      <c r="R504" s="87"/>
      <c r="S504" s="87"/>
      <c r="T504" s="87"/>
      <c r="U504" s="87"/>
      <c r="V504" s="90" t="str">
        <f t="shared" si="48"/>
        <v>Distrital</v>
      </c>
      <c r="W504" s="87" t="s">
        <v>73</v>
      </c>
      <c r="X504" s="87"/>
      <c r="Y504" s="87"/>
      <c r="Z504" s="87"/>
      <c r="AA504" s="87"/>
      <c r="AB504" s="87"/>
      <c r="AC504" s="90" t="str">
        <f t="shared" si="49"/>
        <v>Distrital</v>
      </c>
      <c r="AD504" s="87" t="s">
        <v>73</v>
      </c>
      <c r="AE504" s="87"/>
      <c r="AF504" s="87"/>
      <c r="AG504" s="87"/>
      <c r="AH504" s="87"/>
      <c r="AI504" s="87"/>
      <c r="AJ504" s="87"/>
      <c r="AK504" s="87"/>
      <c r="AL504" s="87"/>
      <c r="AM504" s="87"/>
      <c r="AN504" s="90" t="s">
        <v>160</v>
      </c>
      <c r="AO504" s="90" t="s">
        <v>2354</v>
      </c>
      <c r="AP504" s="82"/>
      <c r="AQ504" s="87" t="s">
        <v>59</v>
      </c>
      <c r="AR504" s="87" t="s">
        <v>80</v>
      </c>
      <c r="AS504" s="82"/>
      <c r="AT504" s="87">
        <v>7</v>
      </c>
      <c r="AU504" s="87">
        <v>1</v>
      </c>
      <c r="AV504" s="87">
        <f t="shared" si="46"/>
        <v>8</v>
      </c>
      <c r="AW504" s="87" t="str">
        <f t="shared" si="50"/>
        <v>Ninguna</v>
      </c>
      <c r="AX504" s="87" t="s">
        <v>75</v>
      </c>
      <c r="AY504" s="87"/>
      <c r="AZ504" s="87"/>
      <c r="BA504" s="91" t="s">
        <v>2355</v>
      </c>
      <c r="BB504" s="84"/>
      <c r="BC504" s="85"/>
      <c r="BD504" s="85"/>
    </row>
    <row r="505" spans="1:56" s="86" customFormat="1" ht="46.5" customHeight="1">
      <c r="A505" s="87">
        <v>500</v>
      </c>
      <c r="B505" s="79" t="s">
        <v>2027</v>
      </c>
      <c r="C505" s="88">
        <v>45441</v>
      </c>
      <c r="D505" s="89">
        <v>0.375</v>
      </c>
      <c r="E505" s="87" t="s">
        <v>58</v>
      </c>
      <c r="F505" s="87" t="s">
        <v>61</v>
      </c>
      <c r="G505" s="87" t="s">
        <v>62</v>
      </c>
      <c r="H505" s="90" t="s">
        <v>1904</v>
      </c>
      <c r="I505" s="90" t="s">
        <v>172</v>
      </c>
      <c r="J505" s="87" t="s">
        <v>70</v>
      </c>
      <c r="K505" s="87" t="s">
        <v>300</v>
      </c>
      <c r="L505" s="90" t="s">
        <v>72</v>
      </c>
      <c r="M505" s="91" t="s">
        <v>72</v>
      </c>
      <c r="N505" s="90" t="s">
        <v>72</v>
      </c>
      <c r="O505" s="90" t="str">
        <f t="shared" si="47"/>
        <v>Distrital</v>
      </c>
      <c r="P505" s="87" t="s">
        <v>73</v>
      </c>
      <c r="Q505" s="87"/>
      <c r="R505" s="87"/>
      <c r="S505" s="87"/>
      <c r="T505" s="87"/>
      <c r="U505" s="87"/>
      <c r="V505" s="90" t="str">
        <f t="shared" si="48"/>
        <v>Distrital</v>
      </c>
      <c r="W505" s="87" t="s">
        <v>73</v>
      </c>
      <c r="X505" s="87"/>
      <c r="Y505" s="87"/>
      <c r="Z505" s="87"/>
      <c r="AA505" s="87"/>
      <c r="AB505" s="87"/>
      <c r="AC505" s="90" t="str">
        <f t="shared" si="49"/>
        <v>Distrital</v>
      </c>
      <c r="AD505" s="87" t="s">
        <v>73</v>
      </c>
      <c r="AE505" s="87"/>
      <c r="AF505" s="87"/>
      <c r="AG505" s="87"/>
      <c r="AH505" s="87"/>
      <c r="AI505" s="87"/>
      <c r="AJ505" s="87"/>
      <c r="AK505" s="87"/>
      <c r="AL505" s="87"/>
      <c r="AM505" s="87"/>
      <c r="AN505" s="90" t="s">
        <v>1739</v>
      </c>
      <c r="AO505" s="90" t="s">
        <v>1740</v>
      </c>
      <c r="AP505" s="82"/>
      <c r="AQ505" s="87" t="s">
        <v>60</v>
      </c>
      <c r="AR505" s="87" t="s">
        <v>1741</v>
      </c>
      <c r="AS505" s="82"/>
      <c r="AT505" s="87">
        <v>140</v>
      </c>
      <c r="AU505" s="87">
        <v>5</v>
      </c>
      <c r="AV505" s="87">
        <f t="shared" si="46"/>
        <v>145</v>
      </c>
      <c r="AW505" s="87" t="str">
        <f t="shared" si="50"/>
        <v>Ninguna</v>
      </c>
      <c r="AX505" s="87" t="s">
        <v>75</v>
      </c>
      <c r="AY505" s="87"/>
      <c r="AZ505" s="87"/>
      <c r="BA505" s="91" t="s">
        <v>2356</v>
      </c>
      <c r="BB505" s="84"/>
      <c r="BC505" s="85"/>
      <c r="BD505" s="85"/>
    </row>
    <row r="506" spans="1:56" s="86" customFormat="1" ht="46.5" customHeight="1">
      <c r="A506" s="78">
        <v>501</v>
      </c>
      <c r="B506" s="79" t="s">
        <v>2357</v>
      </c>
      <c r="C506" s="88">
        <v>45441</v>
      </c>
      <c r="D506" s="89">
        <v>0.375</v>
      </c>
      <c r="E506" s="87" t="s">
        <v>58</v>
      </c>
      <c r="F506" s="87" t="s">
        <v>2358</v>
      </c>
      <c r="G506" s="87" t="s">
        <v>62</v>
      </c>
      <c r="H506" s="90" t="s">
        <v>2359</v>
      </c>
      <c r="I506" s="90" t="s">
        <v>188</v>
      </c>
      <c r="J506" s="87" t="s">
        <v>173</v>
      </c>
      <c r="K506" s="87"/>
      <c r="L506" s="90" t="s">
        <v>1880</v>
      </c>
      <c r="M506" s="91">
        <v>3103418422</v>
      </c>
      <c r="N506" s="90" t="s">
        <v>2360</v>
      </c>
      <c r="O506" s="90" t="str">
        <f t="shared" si="47"/>
        <v>Suba</v>
      </c>
      <c r="P506" s="87" t="s">
        <v>394</v>
      </c>
      <c r="Q506" s="87"/>
      <c r="R506" s="87"/>
      <c r="S506" s="87"/>
      <c r="T506" s="87"/>
      <c r="U506" s="87"/>
      <c r="V506" s="90" t="str">
        <f t="shared" si="48"/>
        <v>Noroccidente, Norte</v>
      </c>
      <c r="W506" s="87" t="s">
        <v>395</v>
      </c>
      <c r="X506" s="87" t="s">
        <v>429</v>
      </c>
      <c r="Y506" s="87"/>
      <c r="Z506" s="87"/>
      <c r="AA506" s="87"/>
      <c r="AB506" s="87"/>
      <c r="AC506" s="90" t="str">
        <f t="shared" si="49"/>
        <v>Suba, Suba Rincón, Tibabuyes, Niza, Britalia, Torca</v>
      </c>
      <c r="AD506" s="87" t="s">
        <v>394</v>
      </c>
      <c r="AE506" s="87" t="s">
        <v>396</v>
      </c>
      <c r="AF506" s="87" t="s">
        <v>924</v>
      </c>
      <c r="AG506" s="87" t="s">
        <v>571</v>
      </c>
      <c r="AH506" s="87" t="s">
        <v>876</v>
      </c>
      <c r="AI506" s="87" t="s">
        <v>528</v>
      </c>
      <c r="AJ506" s="87"/>
      <c r="AK506" s="87"/>
      <c r="AL506" s="87"/>
      <c r="AM506" s="87"/>
      <c r="AN506" s="90" t="s">
        <v>2361</v>
      </c>
      <c r="AO506" s="90" t="s">
        <v>2362</v>
      </c>
      <c r="AP506" s="82"/>
      <c r="AQ506" s="87" t="s">
        <v>59</v>
      </c>
      <c r="AR506" s="87" t="s">
        <v>80</v>
      </c>
      <c r="AS506" s="82"/>
      <c r="AT506" s="87">
        <v>71</v>
      </c>
      <c r="AU506" s="87">
        <v>9</v>
      </c>
      <c r="AV506" s="87">
        <f t="shared" si="46"/>
        <v>80</v>
      </c>
      <c r="AW506" s="87" t="str">
        <f t="shared" si="50"/>
        <v>Horarios Acordes, Accesibilidad Universal, Contenidos adaptados</v>
      </c>
      <c r="AX506" s="87" t="s">
        <v>213</v>
      </c>
      <c r="AY506" s="87" t="s">
        <v>246</v>
      </c>
      <c r="AZ506" s="87" t="s">
        <v>212</v>
      </c>
      <c r="BA506" s="91" t="s">
        <v>2363</v>
      </c>
      <c r="BB506" s="84"/>
      <c r="BC506" s="85"/>
      <c r="BD506" s="85"/>
    </row>
    <row r="507" spans="1:56" s="86" customFormat="1" ht="46.5" customHeight="1">
      <c r="A507" s="87">
        <v>502</v>
      </c>
      <c r="B507" s="79" t="s">
        <v>2364</v>
      </c>
      <c r="C507" s="88">
        <v>45441</v>
      </c>
      <c r="D507" s="89">
        <v>0.58333333333333337</v>
      </c>
      <c r="E507" s="87" t="s">
        <v>93</v>
      </c>
      <c r="F507" s="87" t="s">
        <v>102</v>
      </c>
      <c r="G507" s="87" t="s">
        <v>62</v>
      </c>
      <c r="H507" s="90" t="s">
        <v>2365</v>
      </c>
      <c r="I507" s="90" t="s">
        <v>64</v>
      </c>
      <c r="J507" s="87" t="s">
        <v>119</v>
      </c>
      <c r="K507" s="87" t="s">
        <v>129</v>
      </c>
      <c r="L507" s="90" t="s">
        <v>2366</v>
      </c>
      <c r="M507" s="91" t="s">
        <v>2367</v>
      </c>
      <c r="N507" s="90" t="s">
        <v>2368</v>
      </c>
      <c r="O507" s="90" t="str">
        <f t="shared" si="47"/>
        <v>Distrital</v>
      </c>
      <c r="P507" s="87" t="s">
        <v>73</v>
      </c>
      <c r="Q507" s="87"/>
      <c r="R507" s="87"/>
      <c r="S507" s="87"/>
      <c r="T507" s="87"/>
      <c r="U507" s="87"/>
      <c r="V507" s="90" t="str">
        <f t="shared" si="48"/>
        <v>Distrital</v>
      </c>
      <c r="W507" s="87" t="s">
        <v>73</v>
      </c>
      <c r="X507" s="87"/>
      <c r="Y507" s="87"/>
      <c r="Z507" s="87"/>
      <c r="AA507" s="87"/>
      <c r="AB507" s="87"/>
      <c r="AC507" s="90" t="str">
        <f t="shared" si="49"/>
        <v>Distrital</v>
      </c>
      <c r="AD507" s="87" t="s">
        <v>73</v>
      </c>
      <c r="AE507" s="87"/>
      <c r="AF507" s="87"/>
      <c r="AG507" s="87"/>
      <c r="AH507" s="87"/>
      <c r="AI507" s="87"/>
      <c r="AJ507" s="87"/>
      <c r="AK507" s="87"/>
      <c r="AL507" s="87"/>
      <c r="AM507" s="87"/>
      <c r="AN507" s="90" t="s">
        <v>160</v>
      </c>
      <c r="AO507" s="90" t="s">
        <v>2369</v>
      </c>
      <c r="AP507" s="82"/>
      <c r="AQ507" s="87" t="s">
        <v>59</v>
      </c>
      <c r="AR507" s="87" t="s">
        <v>80</v>
      </c>
      <c r="AS507" s="82"/>
      <c r="AT507" s="87">
        <v>12</v>
      </c>
      <c r="AU507" s="87">
        <v>1</v>
      </c>
      <c r="AV507" s="87">
        <f>AT507+AU507</f>
        <v>13</v>
      </c>
      <c r="AW507" s="87" t="str">
        <f t="shared" si="50"/>
        <v>Ninguna</v>
      </c>
      <c r="AX507" s="87" t="s">
        <v>75</v>
      </c>
      <c r="AY507" s="87"/>
      <c r="AZ507" s="87"/>
      <c r="BA507" s="91" t="s">
        <v>2365</v>
      </c>
      <c r="BB507" s="84"/>
      <c r="BC507" s="85"/>
      <c r="BD507" s="85"/>
    </row>
    <row r="508" spans="1:56" s="86" customFormat="1" ht="46.5" customHeight="1">
      <c r="A508" s="78">
        <v>503</v>
      </c>
      <c r="B508" s="79" t="s">
        <v>1872</v>
      </c>
      <c r="C508" s="88">
        <v>45441</v>
      </c>
      <c r="D508" s="89">
        <v>0.58333333333333337</v>
      </c>
      <c r="E508" s="87" t="s">
        <v>93</v>
      </c>
      <c r="F508" s="87" t="s">
        <v>321</v>
      </c>
      <c r="G508" s="87" t="s">
        <v>95</v>
      </c>
      <c r="H508" s="90" t="s">
        <v>2370</v>
      </c>
      <c r="I508" s="90" t="s">
        <v>64</v>
      </c>
      <c r="J508" s="87" t="s">
        <v>70</v>
      </c>
      <c r="K508" s="87" t="s">
        <v>1810</v>
      </c>
      <c r="L508" s="90" t="s">
        <v>2371</v>
      </c>
      <c r="M508" s="91">
        <v>3003358888</v>
      </c>
      <c r="N508" s="90" t="s">
        <v>2372</v>
      </c>
      <c r="O508" s="90" t="str">
        <f t="shared" si="47"/>
        <v>Ciudad Bolívar</v>
      </c>
      <c r="P508" s="87" t="s">
        <v>107</v>
      </c>
      <c r="Q508" s="87"/>
      <c r="R508" s="87"/>
      <c r="S508" s="87"/>
      <c r="T508" s="87"/>
      <c r="U508" s="87"/>
      <c r="V508" s="90" t="str">
        <f t="shared" si="48"/>
        <v>Suroriente</v>
      </c>
      <c r="W508" s="87" t="s">
        <v>108</v>
      </c>
      <c r="X508" s="87"/>
      <c r="Y508" s="87"/>
      <c r="Z508" s="87"/>
      <c r="AA508" s="87"/>
      <c r="AB508" s="87"/>
      <c r="AC508" s="90" t="str">
        <f t="shared" si="49"/>
        <v>Arborizadora, Lucero, Cuenca del Tunjuelo</v>
      </c>
      <c r="AD508" s="87" t="s">
        <v>110</v>
      </c>
      <c r="AE508" s="87" t="s">
        <v>111</v>
      </c>
      <c r="AF508" s="87" t="s">
        <v>112</v>
      </c>
      <c r="AG508" s="87"/>
      <c r="AH508" s="87"/>
      <c r="AI508" s="87"/>
      <c r="AJ508" s="87"/>
      <c r="AK508" s="87"/>
      <c r="AL508" s="87"/>
      <c r="AM508" s="87"/>
      <c r="AN508" s="90" t="s">
        <v>1875</v>
      </c>
      <c r="AO508" s="92" t="s">
        <v>2373</v>
      </c>
      <c r="AP508" s="82"/>
      <c r="AQ508" s="87" t="s">
        <v>59</v>
      </c>
      <c r="AR508" s="87" t="s">
        <v>80</v>
      </c>
      <c r="AS508" s="82"/>
      <c r="AT508" s="87">
        <v>15</v>
      </c>
      <c r="AU508" s="87">
        <v>1</v>
      </c>
      <c r="AV508" s="87">
        <f>AT508+AU508</f>
        <v>16</v>
      </c>
      <c r="AW508" s="87" t="str">
        <f t="shared" si="50"/>
        <v>Ninguna</v>
      </c>
      <c r="AX508" s="87" t="s">
        <v>75</v>
      </c>
      <c r="AY508" s="87"/>
      <c r="AZ508" s="87"/>
      <c r="BA508" s="91" t="s">
        <v>2374</v>
      </c>
      <c r="BB508" s="84"/>
      <c r="BC508" s="85"/>
      <c r="BD508" s="85"/>
    </row>
    <row r="509" spans="1:56" s="86" customFormat="1" ht="46.5" customHeight="1">
      <c r="A509" s="87">
        <v>504</v>
      </c>
      <c r="B509" s="79" t="s">
        <v>2030</v>
      </c>
      <c r="C509" s="88">
        <v>45441</v>
      </c>
      <c r="D509" s="89">
        <v>0.625</v>
      </c>
      <c r="E509" s="87" t="s">
        <v>58</v>
      </c>
      <c r="F509" s="87" t="s">
        <v>61</v>
      </c>
      <c r="G509" s="87" t="s">
        <v>62</v>
      </c>
      <c r="H509" s="90" t="s">
        <v>1904</v>
      </c>
      <c r="I509" s="90" t="s">
        <v>172</v>
      </c>
      <c r="J509" s="87" t="s">
        <v>70</v>
      </c>
      <c r="K509" s="87" t="s">
        <v>300</v>
      </c>
      <c r="L509" s="90" t="s">
        <v>72</v>
      </c>
      <c r="M509" s="91" t="s">
        <v>72</v>
      </c>
      <c r="N509" s="90" t="s">
        <v>72</v>
      </c>
      <c r="O509" s="90" t="str">
        <f t="shared" si="47"/>
        <v>Distrital</v>
      </c>
      <c r="P509" s="87" t="s">
        <v>73</v>
      </c>
      <c r="Q509" s="87"/>
      <c r="R509" s="87"/>
      <c r="S509" s="87"/>
      <c r="T509" s="87"/>
      <c r="U509" s="87"/>
      <c r="V509" s="90" t="str">
        <f t="shared" si="48"/>
        <v>Distrital</v>
      </c>
      <c r="W509" s="87" t="s">
        <v>73</v>
      </c>
      <c r="X509" s="87"/>
      <c r="Y509" s="87"/>
      <c r="Z509" s="87"/>
      <c r="AA509" s="87"/>
      <c r="AB509" s="87"/>
      <c r="AC509" s="90" t="str">
        <f t="shared" si="49"/>
        <v>Distrital</v>
      </c>
      <c r="AD509" s="87" t="s">
        <v>73</v>
      </c>
      <c r="AE509" s="87"/>
      <c r="AF509" s="87"/>
      <c r="AG509" s="87"/>
      <c r="AH509" s="87"/>
      <c r="AI509" s="87"/>
      <c r="AJ509" s="87"/>
      <c r="AK509" s="87"/>
      <c r="AL509" s="87"/>
      <c r="AM509" s="87"/>
      <c r="AN509" s="90" t="s">
        <v>1739</v>
      </c>
      <c r="AO509" s="90" t="s">
        <v>1740</v>
      </c>
      <c r="AP509" s="82"/>
      <c r="AQ509" s="87" t="s">
        <v>60</v>
      </c>
      <c r="AR509" s="87" t="s">
        <v>1741</v>
      </c>
      <c r="AS509" s="82"/>
      <c r="AT509" s="87">
        <v>150</v>
      </c>
      <c r="AU509" s="87">
        <v>6</v>
      </c>
      <c r="AV509" s="87">
        <f t="shared" si="46"/>
        <v>156</v>
      </c>
      <c r="AW509" s="87" t="str">
        <f t="shared" si="50"/>
        <v>Ninguna</v>
      </c>
      <c r="AX509" s="87" t="s">
        <v>75</v>
      </c>
      <c r="AY509" s="87"/>
      <c r="AZ509" s="87"/>
      <c r="BA509" s="91" t="s">
        <v>2375</v>
      </c>
      <c r="BB509" s="84"/>
      <c r="BC509" s="85"/>
      <c r="BD509" s="85"/>
    </row>
    <row r="510" spans="1:56" s="86" customFormat="1" ht="46.5" customHeight="1">
      <c r="A510" s="78">
        <v>505</v>
      </c>
      <c r="B510" s="79" t="s">
        <v>2376</v>
      </c>
      <c r="C510" s="88">
        <v>45441</v>
      </c>
      <c r="D510" s="89">
        <v>0.625</v>
      </c>
      <c r="E510" s="87" t="s">
        <v>58</v>
      </c>
      <c r="F510" s="87" t="s">
        <v>149</v>
      </c>
      <c r="G510" s="87" t="s">
        <v>95</v>
      </c>
      <c r="H510" s="90" t="s">
        <v>2377</v>
      </c>
      <c r="I510" s="90" t="s">
        <v>64</v>
      </c>
      <c r="J510" s="87" t="s">
        <v>70</v>
      </c>
      <c r="K510" s="87"/>
      <c r="L510" s="90" t="s">
        <v>2378</v>
      </c>
      <c r="M510" s="91" t="s">
        <v>72</v>
      </c>
      <c r="N510" s="90" t="s">
        <v>2379</v>
      </c>
      <c r="O510" s="90" t="str">
        <f t="shared" si="47"/>
        <v>Distrital</v>
      </c>
      <c r="P510" s="87" t="s">
        <v>73</v>
      </c>
      <c r="Q510" s="87"/>
      <c r="R510" s="87"/>
      <c r="S510" s="87"/>
      <c r="T510" s="87"/>
      <c r="U510" s="87"/>
      <c r="V510" s="90" t="str">
        <f t="shared" si="48"/>
        <v>Distrital</v>
      </c>
      <c r="W510" s="87" t="s">
        <v>73</v>
      </c>
      <c r="X510" s="87"/>
      <c r="Y510" s="87"/>
      <c r="Z510" s="87"/>
      <c r="AA510" s="87"/>
      <c r="AB510" s="87"/>
      <c r="AC510" s="90" t="str">
        <f t="shared" si="49"/>
        <v>Distrital</v>
      </c>
      <c r="AD510" s="87" t="s">
        <v>73</v>
      </c>
      <c r="AE510" s="87"/>
      <c r="AF510" s="87"/>
      <c r="AG510" s="87"/>
      <c r="AH510" s="87"/>
      <c r="AI510" s="87"/>
      <c r="AJ510" s="87"/>
      <c r="AK510" s="87"/>
      <c r="AL510" s="87"/>
      <c r="AM510" s="87"/>
      <c r="AN510" s="90" t="s">
        <v>160</v>
      </c>
      <c r="AO510" s="92" t="s">
        <v>2380</v>
      </c>
      <c r="AP510" s="82"/>
      <c r="AQ510" s="87" t="s">
        <v>59</v>
      </c>
      <c r="AR510" s="87" t="s">
        <v>80</v>
      </c>
      <c r="AS510" s="82"/>
      <c r="AT510" s="87">
        <v>80</v>
      </c>
      <c r="AU510" s="87">
        <v>1</v>
      </c>
      <c r="AV510" s="87">
        <f t="shared" si="46"/>
        <v>81</v>
      </c>
      <c r="AW510" s="87" t="str">
        <f t="shared" si="50"/>
        <v>Ninguna</v>
      </c>
      <c r="AX510" s="87" t="s">
        <v>75</v>
      </c>
      <c r="AY510" s="87"/>
      <c r="AZ510" s="87"/>
      <c r="BA510" s="91" t="s">
        <v>2381</v>
      </c>
      <c r="BB510" s="84"/>
      <c r="BC510" s="85"/>
      <c r="BD510" s="85"/>
    </row>
    <row r="511" spans="1:56" s="86" customFormat="1" ht="46.5" customHeight="1">
      <c r="A511" s="87">
        <v>506</v>
      </c>
      <c r="B511" s="79" t="s">
        <v>2383</v>
      </c>
      <c r="C511" s="88">
        <v>45441</v>
      </c>
      <c r="D511" s="89">
        <v>0.625</v>
      </c>
      <c r="E511" s="87" t="s">
        <v>58</v>
      </c>
      <c r="F511" s="87" t="s">
        <v>1142</v>
      </c>
      <c r="G511" s="87" t="s">
        <v>95</v>
      </c>
      <c r="H511" s="90" t="s">
        <v>2384</v>
      </c>
      <c r="I511" s="90" t="s">
        <v>64</v>
      </c>
      <c r="J511" s="87" t="s">
        <v>119</v>
      </c>
      <c r="K511" s="87" t="s">
        <v>209</v>
      </c>
      <c r="L511" s="90" t="s">
        <v>794</v>
      </c>
      <c r="M511" s="91">
        <v>3143909467</v>
      </c>
      <c r="N511" s="90" t="s">
        <v>2385</v>
      </c>
      <c r="O511" s="90" t="str">
        <f t="shared" si="47"/>
        <v>Distrital</v>
      </c>
      <c r="P511" s="87" t="s">
        <v>73</v>
      </c>
      <c r="Q511" s="87"/>
      <c r="R511" s="87"/>
      <c r="S511" s="87"/>
      <c r="T511" s="87"/>
      <c r="U511" s="87"/>
      <c r="V511" s="90" t="str">
        <f t="shared" si="48"/>
        <v>Distrital</v>
      </c>
      <c r="W511" s="87" t="s">
        <v>73</v>
      </c>
      <c r="X511" s="87"/>
      <c r="Y511" s="87"/>
      <c r="Z511" s="87"/>
      <c r="AA511" s="87"/>
      <c r="AB511" s="87"/>
      <c r="AC511" s="90" t="str">
        <f t="shared" si="49"/>
        <v>Distrital</v>
      </c>
      <c r="AD511" s="87" t="s">
        <v>73</v>
      </c>
      <c r="AE511" s="87"/>
      <c r="AF511" s="87"/>
      <c r="AG511" s="87"/>
      <c r="AH511" s="87"/>
      <c r="AI511" s="87"/>
      <c r="AJ511" s="87"/>
      <c r="AK511" s="87"/>
      <c r="AL511" s="87"/>
      <c r="AM511" s="87"/>
      <c r="AN511" s="90" t="s">
        <v>2386</v>
      </c>
      <c r="AO511" s="92" t="s">
        <v>2387</v>
      </c>
      <c r="AP511" s="82"/>
      <c r="AQ511" s="87" t="s">
        <v>59</v>
      </c>
      <c r="AR511" s="87" t="s">
        <v>80</v>
      </c>
      <c r="AS511" s="82"/>
      <c r="AT511" s="87">
        <v>2</v>
      </c>
      <c r="AU511" s="87">
        <v>2</v>
      </c>
      <c r="AV511" s="87">
        <f>AT511+AU511</f>
        <v>4</v>
      </c>
      <c r="AW511" s="87" t="str">
        <f t="shared" si="50"/>
        <v>Ninguna</v>
      </c>
      <c r="AX511" s="87" t="s">
        <v>75</v>
      </c>
      <c r="AY511" s="87"/>
      <c r="AZ511" s="87"/>
      <c r="BA511" s="91" t="s">
        <v>2388</v>
      </c>
      <c r="BB511" s="84"/>
      <c r="BC511" s="85"/>
      <c r="BD511" s="85"/>
    </row>
    <row r="512" spans="1:56" s="86" customFormat="1" ht="46.5" customHeight="1">
      <c r="A512" s="78">
        <v>507</v>
      </c>
      <c r="B512" s="79" t="s">
        <v>1397</v>
      </c>
      <c r="C512" s="88">
        <v>45441</v>
      </c>
      <c r="D512" s="89">
        <v>0.70833333333333337</v>
      </c>
      <c r="E512" s="87" t="s">
        <v>58</v>
      </c>
      <c r="F512" s="87" t="s">
        <v>102</v>
      </c>
      <c r="G512" s="87" t="s">
        <v>62</v>
      </c>
      <c r="H512" s="90" t="s">
        <v>2389</v>
      </c>
      <c r="I512" s="90" t="s">
        <v>118</v>
      </c>
      <c r="J512" s="87" t="s">
        <v>119</v>
      </c>
      <c r="K512" s="87" t="s">
        <v>129</v>
      </c>
      <c r="L512" s="90" t="s">
        <v>2390</v>
      </c>
      <c r="M512" s="91">
        <v>3108148740</v>
      </c>
      <c r="N512" s="90" t="s">
        <v>439</v>
      </c>
      <c r="O512" s="90" t="str">
        <f t="shared" si="47"/>
        <v>Distrital</v>
      </c>
      <c r="P512" s="87" t="s">
        <v>73</v>
      </c>
      <c r="Q512" s="87"/>
      <c r="R512" s="87"/>
      <c r="S512" s="87"/>
      <c r="T512" s="87"/>
      <c r="U512" s="87"/>
      <c r="V512" s="90" t="str">
        <f t="shared" si="48"/>
        <v>Distrital</v>
      </c>
      <c r="W512" s="87" t="s">
        <v>73</v>
      </c>
      <c r="X512" s="87"/>
      <c r="Y512" s="87"/>
      <c r="Z512" s="87"/>
      <c r="AA512" s="87"/>
      <c r="AB512" s="87"/>
      <c r="AC512" s="90" t="str">
        <f t="shared" si="49"/>
        <v>Distrital</v>
      </c>
      <c r="AD512" s="87" t="s">
        <v>73</v>
      </c>
      <c r="AE512" s="87"/>
      <c r="AF512" s="87"/>
      <c r="AG512" s="87"/>
      <c r="AH512" s="87"/>
      <c r="AI512" s="87"/>
      <c r="AJ512" s="87"/>
      <c r="AK512" s="87"/>
      <c r="AL512" s="87"/>
      <c r="AM512" s="87"/>
      <c r="AN512" s="90" t="s">
        <v>129</v>
      </c>
      <c r="AO512" s="92" t="s">
        <v>2391</v>
      </c>
      <c r="AP512" s="82"/>
      <c r="AQ512" s="87" t="s">
        <v>59</v>
      </c>
      <c r="AR512" s="87" t="s">
        <v>80</v>
      </c>
      <c r="AS512" s="82"/>
      <c r="AT512" s="87">
        <v>34</v>
      </c>
      <c r="AU512" s="87">
        <v>2</v>
      </c>
      <c r="AV512" s="87">
        <f>AT512+AU512</f>
        <v>36</v>
      </c>
      <c r="AW512" s="87" t="str">
        <f t="shared" si="50"/>
        <v>Ninguna</v>
      </c>
      <c r="AX512" s="87" t="s">
        <v>75</v>
      </c>
      <c r="AY512" s="87"/>
      <c r="AZ512" s="87"/>
      <c r="BA512" s="91" t="s">
        <v>2389</v>
      </c>
      <c r="BB512" s="84"/>
      <c r="BC512" s="85"/>
      <c r="BD512" s="85"/>
    </row>
    <row r="513" spans="1:56" s="86" customFormat="1" ht="46.5" customHeight="1">
      <c r="A513" s="87">
        <v>508</v>
      </c>
      <c r="B513" s="79" t="s">
        <v>2164</v>
      </c>
      <c r="C513" s="88">
        <v>45442</v>
      </c>
      <c r="D513" s="89">
        <v>0.33333333333333331</v>
      </c>
      <c r="E513" s="87" t="s">
        <v>58</v>
      </c>
      <c r="F513" s="87" t="s">
        <v>1750</v>
      </c>
      <c r="G513" s="87" t="s">
        <v>95</v>
      </c>
      <c r="H513" s="90" t="s">
        <v>2392</v>
      </c>
      <c r="I513" s="90" t="s">
        <v>64</v>
      </c>
      <c r="J513" s="87" t="s">
        <v>70</v>
      </c>
      <c r="K513" s="87" t="s">
        <v>71</v>
      </c>
      <c r="L513" s="90" t="s">
        <v>72</v>
      </c>
      <c r="M513" s="91" t="s">
        <v>72</v>
      </c>
      <c r="N513" s="90" t="s">
        <v>72</v>
      </c>
      <c r="O513" s="90" t="str">
        <f t="shared" si="47"/>
        <v>Distrital</v>
      </c>
      <c r="P513" s="87" t="s">
        <v>73</v>
      </c>
      <c r="Q513" s="87"/>
      <c r="R513" s="87"/>
      <c r="S513" s="87"/>
      <c r="T513" s="87"/>
      <c r="U513" s="87"/>
      <c r="V513" s="90" t="str">
        <f t="shared" si="48"/>
        <v>Distrital</v>
      </c>
      <c r="W513" s="87" t="s">
        <v>73</v>
      </c>
      <c r="X513" s="87"/>
      <c r="Y513" s="87"/>
      <c r="Z513" s="87"/>
      <c r="AA513" s="87"/>
      <c r="AB513" s="87"/>
      <c r="AC513" s="90" t="str">
        <f t="shared" si="49"/>
        <v>Distrital</v>
      </c>
      <c r="AD513" s="87" t="s">
        <v>73</v>
      </c>
      <c r="AE513" s="87"/>
      <c r="AF513" s="87"/>
      <c r="AG513" s="87"/>
      <c r="AH513" s="87"/>
      <c r="AI513" s="87"/>
      <c r="AJ513" s="87"/>
      <c r="AK513" s="87"/>
      <c r="AL513" s="87"/>
      <c r="AM513" s="87"/>
      <c r="AN513" s="90" t="s">
        <v>160</v>
      </c>
      <c r="AO513" s="92" t="s">
        <v>2393</v>
      </c>
      <c r="AP513" s="82"/>
      <c r="AQ513" s="87" t="s">
        <v>59</v>
      </c>
      <c r="AR513" s="87" t="s">
        <v>80</v>
      </c>
      <c r="AS513" s="82"/>
      <c r="AT513" s="87">
        <v>0</v>
      </c>
      <c r="AU513" s="87">
        <v>10</v>
      </c>
      <c r="AV513" s="87">
        <f t="shared" si="46"/>
        <v>10</v>
      </c>
      <c r="AW513" s="87" t="str">
        <f t="shared" si="50"/>
        <v>Ninguna</v>
      </c>
      <c r="AX513" s="87" t="s">
        <v>75</v>
      </c>
      <c r="AY513" s="87"/>
      <c r="AZ513" s="87"/>
      <c r="BA513" s="91" t="s">
        <v>2394</v>
      </c>
      <c r="BB513" s="84"/>
      <c r="BC513" s="85"/>
      <c r="BD513" s="85"/>
    </row>
    <row r="514" spans="1:56" s="86" customFormat="1" ht="46.5" customHeight="1">
      <c r="A514" s="78">
        <v>509</v>
      </c>
      <c r="B514" s="79" t="s">
        <v>2395</v>
      </c>
      <c r="C514" s="88">
        <v>45442</v>
      </c>
      <c r="D514" s="89">
        <v>0.33333333333333331</v>
      </c>
      <c r="E514" s="87" t="s">
        <v>58</v>
      </c>
      <c r="F514" s="87" t="s">
        <v>2121</v>
      </c>
      <c r="G514" s="87" t="s">
        <v>62</v>
      </c>
      <c r="H514" s="90" t="s">
        <v>2396</v>
      </c>
      <c r="I514" s="90" t="s">
        <v>188</v>
      </c>
      <c r="J514" s="87" t="s">
        <v>173</v>
      </c>
      <c r="K514" s="87"/>
      <c r="L514" s="90" t="s">
        <v>2397</v>
      </c>
      <c r="M514" s="91" t="s">
        <v>72</v>
      </c>
      <c r="N514" s="90" t="s">
        <v>2398</v>
      </c>
      <c r="O514" s="90" t="str">
        <f t="shared" si="47"/>
        <v>Distrital</v>
      </c>
      <c r="P514" s="87" t="s">
        <v>73</v>
      </c>
      <c r="Q514" s="87"/>
      <c r="R514" s="87"/>
      <c r="S514" s="87"/>
      <c r="T514" s="87"/>
      <c r="U514" s="87"/>
      <c r="V514" s="90" t="str">
        <f t="shared" si="48"/>
        <v>Distrital</v>
      </c>
      <c r="W514" s="87" t="s">
        <v>73</v>
      </c>
      <c r="X514" s="87"/>
      <c r="Y514" s="87"/>
      <c r="Z514" s="87"/>
      <c r="AA514" s="87"/>
      <c r="AB514" s="87"/>
      <c r="AC514" s="90" t="str">
        <f t="shared" si="49"/>
        <v>Distrital</v>
      </c>
      <c r="AD514" s="87" t="s">
        <v>73</v>
      </c>
      <c r="AE514" s="87"/>
      <c r="AF514" s="87"/>
      <c r="AG514" s="87"/>
      <c r="AH514" s="87"/>
      <c r="AI514" s="87"/>
      <c r="AJ514" s="87"/>
      <c r="AK514" s="87"/>
      <c r="AL514" s="87"/>
      <c r="AM514" s="87"/>
      <c r="AN514" s="90" t="s">
        <v>160</v>
      </c>
      <c r="AO514" s="90" t="s">
        <v>2399</v>
      </c>
      <c r="AP514" s="82"/>
      <c r="AQ514" s="87" t="s">
        <v>59</v>
      </c>
      <c r="AR514" s="87" t="s">
        <v>80</v>
      </c>
      <c r="AS514" s="82"/>
      <c r="AT514" s="87">
        <v>80</v>
      </c>
      <c r="AU514" s="87">
        <v>4</v>
      </c>
      <c r="AV514" s="87">
        <f t="shared" si="46"/>
        <v>84</v>
      </c>
      <c r="AW514" s="87" t="str">
        <f t="shared" si="50"/>
        <v>Ninguna</v>
      </c>
      <c r="AX514" s="87" t="s">
        <v>75</v>
      </c>
      <c r="AY514" s="87"/>
      <c r="AZ514" s="87"/>
      <c r="BA514" s="91" t="s">
        <v>2400</v>
      </c>
      <c r="BB514" s="84"/>
      <c r="BC514" s="85"/>
      <c r="BD514" s="85"/>
    </row>
    <row r="515" spans="1:56" s="86" customFormat="1" ht="46.5" customHeight="1">
      <c r="A515" s="87">
        <v>510</v>
      </c>
      <c r="B515" s="79" t="s">
        <v>2401</v>
      </c>
      <c r="C515" s="88">
        <v>45442</v>
      </c>
      <c r="D515" s="89">
        <v>0.33333333333333331</v>
      </c>
      <c r="E515" s="87" t="s">
        <v>58</v>
      </c>
      <c r="F515" s="87" t="s">
        <v>149</v>
      </c>
      <c r="G515" s="87" t="s">
        <v>62</v>
      </c>
      <c r="H515" s="90" t="s">
        <v>2402</v>
      </c>
      <c r="I515" s="90" t="s">
        <v>172</v>
      </c>
      <c r="J515" s="87" t="s">
        <v>173</v>
      </c>
      <c r="K515" s="87"/>
      <c r="L515" s="90" t="s">
        <v>2403</v>
      </c>
      <c r="M515" s="91" t="s">
        <v>72</v>
      </c>
      <c r="N515" s="90" t="s">
        <v>2404</v>
      </c>
      <c r="O515" s="90" t="str">
        <f t="shared" si="47"/>
        <v>Suba</v>
      </c>
      <c r="P515" s="87" t="s">
        <v>394</v>
      </c>
      <c r="Q515" s="87"/>
      <c r="R515" s="87"/>
      <c r="S515" s="87"/>
      <c r="T515" s="87"/>
      <c r="U515" s="87"/>
      <c r="V515" s="90" t="str">
        <f t="shared" si="48"/>
        <v>Noroccidente</v>
      </c>
      <c r="W515" s="87" t="s">
        <v>395</v>
      </c>
      <c r="X515" s="87"/>
      <c r="Y515" s="87"/>
      <c r="Z515" s="87"/>
      <c r="AA515" s="87"/>
      <c r="AB515" s="87"/>
      <c r="AC515" s="90" t="str">
        <f t="shared" si="49"/>
        <v>Suba, Suba Rincón, Tibabuyes, Niza, Britalia, Torca</v>
      </c>
      <c r="AD515" s="87" t="s">
        <v>394</v>
      </c>
      <c r="AE515" s="87" t="s">
        <v>396</v>
      </c>
      <c r="AF515" s="87" t="s">
        <v>924</v>
      </c>
      <c r="AG515" s="87" t="s">
        <v>571</v>
      </c>
      <c r="AH515" s="87" t="s">
        <v>876</v>
      </c>
      <c r="AI515" s="87" t="s">
        <v>528</v>
      </c>
      <c r="AJ515" s="87"/>
      <c r="AK515" s="87"/>
      <c r="AL515" s="87"/>
      <c r="AM515" s="87"/>
      <c r="AN515" s="90" t="s">
        <v>160</v>
      </c>
      <c r="AO515" s="90" t="s">
        <v>2405</v>
      </c>
      <c r="AP515" s="82"/>
      <c r="AQ515" s="87" t="s">
        <v>59</v>
      </c>
      <c r="AR515" s="87" t="s">
        <v>80</v>
      </c>
      <c r="AS515" s="82"/>
      <c r="AT515" s="87">
        <v>60</v>
      </c>
      <c r="AU515" s="87">
        <v>2</v>
      </c>
      <c r="AV515" s="87">
        <f>AT515+AU515</f>
        <v>62</v>
      </c>
      <c r="AW515" s="87" t="str">
        <f t="shared" si="50"/>
        <v>Ninguna</v>
      </c>
      <c r="AX515" s="87" t="s">
        <v>75</v>
      </c>
      <c r="AY515" s="87"/>
      <c r="AZ515" s="87"/>
      <c r="BA515" s="91" t="s">
        <v>2406</v>
      </c>
      <c r="BB515" s="84"/>
      <c r="BC515" s="85"/>
      <c r="BD515" s="85"/>
    </row>
    <row r="516" spans="1:56" s="86" customFormat="1" ht="46.5" customHeight="1">
      <c r="A516" s="78">
        <v>511</v>
      </c>
      <c r="B516" s="79" t="s">
        <v>1903</v>
      </c>
      <c r="C516" s="88">
        <v>45442</v>
      </c>
      <c r="D516" s="89">
        <v>0.375</v>
      </c>
      <c r="E516" s="87" t="s">
        <v>58</v>
      </c>
      <c r="F516" s="87" t="s">
        <v>61</v>
      </c>
      <c r="G516" s="87" t="s">
        <v>62</v>
      </c>
      <c r="H516" s="90" t="s">
        <v>1904</v>
      </c>
      <c r="I516" s="90" t="s">
        <v>172</v>
      </c>
      <c r="J516" s="87" t="s">
        <v>70</v>
      </c>
      <c r="K516" s="87" t="s">
        <v>300</v>
      </c>
      <c r="L516" s="90" t="s">
        <v>72</v>
      </c>
      <c r="M516" s="91" t="s">
        <v>72</v>
      </c>
      <c r="N516" s="90" t="s">
        <v>72</v>
      </c>
      <c r="O516" s="90" t="str">
        <f t="shared" si="47"/>
        <v>Distrital</v>
      </c>
      <c r="P516" s="87" t="s">
        <v>73</v>
      </c>
      <c r="Q516" s="87"/>
      <c r="R516" s="87"/>
      <c r="S516" s="87"/>
      <c r="T516" s="87"/>
      <c r="U516" s="87"/>
      <c r="V516" s="90" t="str">
        <f t="shared" si="48"/>
        <v>Distrital</v>
      </c>
      <c r="W516" s="87" t="s">
        <v>73</v>
      </c>
      <c r="X516" s="87"/>
      <c r="Y516" s="87"/>
      <c r="Z516" s="87"/>
      <c r="AA516" s="87"/>
      <c r="AB516" s="87"/>
      <c r="AC516" s="90" t="str">
        <f t="shared" si="49"/>
        <v>Distrital</v>
      </c>
      <c r="AD516" s="87" t="s">
        <v>73</v>
      </c>
      <c r="AE516" s="87"/>
      <c r="AF516" s="87"/>
      <c r="AG516" s="87"/>
      <c r="AH516" s="87"/>
      <c r="AI516" s="87"/>
      <c r="AJ516" s="87"/>
      <c r="AK516" s="87"/>
      <c r="AL516" s="87"/>
      <c r="AM516" s="87"/>
      <c r="AN516" s="90" t="s">
        <v>1739</v>
      </c>
      <c r="AO516" s="90" t="s">
        <v>1740</v>
      </c>
      <c r="AP516" s="82"/>
      <c r="AQ516" s="87" t="s">
        <v>60</v>
      </c>
      <c r="AR516" s="87" t="s">
        <v>1741</v>
      </c>
      <c r="AS516" s="82"/>
      <c r="AT516" s="87">
        <v>200</v>
      </c>
      <c r="AU516" s="87">
        <v>7</v>
      </c>
      <c r="AV516" s="87">
        <f t="shared" si="46"/>
        <v>207</v>
      </c>
      <c r="AW516" s="87" t="str">
        <f t="shared" si="50"/>
        <v>Horarios Acordes</v>
      </c>
      <c r="AX516" s="87" t="s">
        <v>213</v>
      </c>
      <c r="AY516" s="87"/>
      <c r="AZ516" s="87"/>
      <c r="BA516" s="91" t="s">
        <v>2407</v>
      </c>
      <c r="BB516" s="84"/>
      <c r="BC516" s="85"/>
      <c r="BD516" s="85"/>
    </row>
    <row r="517" spans="1:56" s="86" customFormat="1" ht="46.5" customHeight="1">
      <c r="A517" s="87">
        <v>512</v>
      </c>
      <c r="B517" s="79" t="s">
        <v>2283</v>
      </c>
      <c r="C517" s="88">
        <v>45442</v>
      </c>
      <c r="D517" s="89">
        <v>0.375</v>
      </c>
      <c r="E517" s="87" t="s">
        <v>93</v>
      </c>
      <c r="F517" s="87" t="s">
        <v>102</v>
      </c>
      <c r="G517" s="87" t="s">
        <v>95</v>
      </c>
      <c r="H517" s="90" t="s">
        <v>2408</v>
      </c>
      <c r="I517" s="90" t="s">
        <v>118</v>
      </c>
      <c r="J517" s="87" t="s">
        <v>119</v>
      </c>
      <c r="K517" s="87" t="s">
        <v>129</v>
      </c>
      <c r="L517" s="90" t="s">
        <v>881</v>
      </c>
      <c r="M517" s="91">
        <v>3157917070</v>
      </c>
      <c r="N517" s="90" t="s">
        <v>883</v>
      </c>
      <c r="O517" s="90" t="str">
        <f t="shared" si="47"/>
        <v>Distrital</v>
      </c>
      <c r="P517" s="87" t="s">
        <v>73</v>
      </c>
      <c r="Q517" s="87"/>
      <c r="R517" s="87"/>
      <c r="S517" s="87"/>
      <c r="T517" s="87"/>
      <c r="U517" s="87"/>
      <c r="V517" s="90" t="str">
        <f t="shared" si="48"/>
        <v>Distrital</v>
      </c>
      <c r="W517" s="87" t="s">
        <v>73</v>
      </c>
      <c r="X517" s="87"/>
      <c r="Y517" s="87"/>
      <c r="Z517" s="87"/>
      <c r="AA517" s="87"/>
      <c r="AB517" s="87"/>
      <c r="AC517" s="90" t="str">
        <f t="shared" si="49"/>
        <v>Distrital</v>
      </c>
      <c r="AD517" s="87" t="s">
        <v>73</v>
      </c>
      <c r="AE517" s="87"/>
      <c r="AF517" s="87"/>
      <c r="AG517" s="87"/>
      <c r="AH517" s="87"/>
      <c r="AI517" s="87"/>
      <c r="AJ517" s="87"/>
      <c r="AK517" s="87"/>
      <c r="AL517" s="87"/>
      <c r="AM517" s="87"/>
      <c r="AN517" s="90" t="s">
        <v>129</v>
      </c>
      <c r="AO517" s="92" t="s">
        <v>2409</v>
      </c>
      <c r="AP517" s="82"/>
      <c r="AQ517" s="87" t="s">
        <v>59</v>
      </c>
      <c r="AR517" s="87" t="s">
        <v>80</v>
      </c>
      <c r="AS517" s="82"/>
      <c r="AT517" s="87">
        <v>3</v>
      </c>
      <c r="AU517" s="87">
        <v>1</v>
      </c>
      <c r="AV517" s="87">
        <f>AT517+AU517</f>
        <v>4</v>
      </c>
      <c r="AW517" s="87" t="str">
        <f t="shared" si="50"/>
        <v>Ninguna</v>
      </c>
      <c r="AX517" s="87" t="s">
        <v>75</v>
      </c>
      <c r="AY517" s="87"/>
      <c r="AZ517" s="87"/>
      <c r="BA517" s="91" t="s">
        <v>2410</v>
      </c>
      <c r="BB517" s="84"/>
      <c r="BC517" s="85"/>
      <c r="BD517" s="85"/>
    </row>
    <row r="518" spans="1:56" s="86" customFormat="1" ht="46.5" customHeight="1">
      <c r="A518" s="78">
        <v>513</v>
      </c>
      <c r="B518" s="79" t="s">
        <v>388</v>
      </c>
      <c r="C518" s="88">
        <v>45442</v>
      </c>
      <c r="D518" s="89">
        <v>0.625</v>
      </c>
      <c r="E518" s="87" t="s">
        <v>93</v>
      </c>
      <c r="F518" s="87" t="s">
        <v>94</v>
      </c>
      <c r="G518" s="87" t="s">
        <v>95</v>
      </c>
      <c r="H518" s="90" t="s">
        <v>2411</v>
      </c>
      <c r="I518" s="90" t="s">
        <v>64</v>
      </c>
      <c r="J518" s="87" t="s">
        <v>173</v>
      </c>
      <c r="K518" s="87"/>
      <c r="L518" s="90" t="s">
        <v>98</v>
      </c>
      <c r="M518" s="91" t="s">
        <v>72</v>
      </c>
      <c r="N518" s="90" t="s">
        <v>99</v>
      </c>
      <c r="O518" s="90" t="str">
        <f t="shared" si="47"/>
        <v>Distrital</v>
      </c>
      <c r="P518" s="87" t="s">
        <v>73</v>
      </c>
      <c r="Q518" s="87"/>
      <c r="R518" s="87"/>
      <c r="S518" s="87"/>
      <c r="T518" s="87"/>
      <c r="U518" s="87"/>
      <c r="V518" s="90" t="str">
        <f t="shared" si="48"/>
        <v>Distrital</v>
      </c>
      <c r="W518" s="87" t="s">
        <v>73</v>
      </c>
      <c r="X518" s="87"/>
      <c r="Y518" s="87"/>
      <c r="Z518" s="87"/>
      <c r="AA518" s="87"/>
      <c r="AB518" s="87"/>
      <c r="AC518" s="90" t="str">
        <f t="shared" si="49"/>
        <v>Distrital</v>
      </c>
      <c r="AD518" s="87" t="s">
        <v>73</v>
      </c>
      <c r="AE518" s="87"/>
      <c r="AF518" s="87"/>
      <c r="AG518" s="87"/>
      <c r="AH518" s="87"/>
      <c r="AI518" s="87"/>
      <c r="AJ518" s="87"/>
      <c r="AK518" s="87"/>
      <c r="AL518" s="87"/>
      <c r="AM518" s="87"/>
      <c r="AN518" s="90" t="s">
        <v>160</v>
      </c>
      <c r="AO518" s="90" t="s">
        <v>2412</v>
      </c>
      <c r="AP518" s="82"/>
      <c r="AQ518" s="87" t="s">
        <v>59</v>
      </c>
      <c r="AR518" s="87" t="s">
        <v>80</v>
      </c>
      <c r="AS518" s="82"/>
      <c r="AT518" s="87">
        <v>8</v>
      </c>
      <c r="AU518" s="87">
        <v>1</v>
      </c>
      <c r="AV518" s="87">
        <f t="shared" si="46"/>
        <v>9</v>
      </c>
      <c r="AW518" s="87" t="str">
        <f t="shared" si="50"/>
        <v>Ninguna</v>
      </c>
      <c r="AX518" s="87" t="s">
        <v>75</v>
      </c>
      <c r="AY518" s="87"/>
      <c r="AZ518" s="87"/>
      <c r="BA518" s="91" t="s">
        <v>2413</v>
      </c>
      <c r="BB518" s="84"/>
      <c r="BC518" s="85"/>
      <c r="BD518" s="85"/>
    </row>
    <row r="519" spans="1:56" s="86" customFormat="1" ht="46.5" customHeight="1">
      <c r="A519" s="87">
        <v>514</v>
      </c>
      <c r="B519" s="79" t="s">
        <v>2414</v>
      </c>
      <c r="C519" s="88">
        <v>45442</v>
      </c>
      <c r="D519" s="89">
        <v>0.58333333333333337</v>
      </c>
      <c r="E519" s="87" t="s">
        <v>58</v>
      </c>
      <c r="F519" s="87" t="s">
        <v>1437</v>
      </c>
      <c r="G519" s="87" t="s">
        <v>62</v>
      </c>
      <c r="H519" s="90" t="s">
        <v>2415</v>
      </c>
      <c r="I519" s="90" t="s">
        <v>64</v>
      </c>
      <c r="J519" s="87" t="s">
        <v>70</v>
      </c>
      <c r="K519" s="87"/>
      <c r="L519" s="90" t="s">
        <v>72</v>
      </c>
      <c r="M519" s="90" t="s">
        <v>72</v>
      </c>
      <c r="N519" s="90" t="s">
        <v>72</v>
      </c>
      <c r="O519" s="90" t="str">
        <f t="shared" si="47"/>
        <v>Distrital</v>
      </c>
      <c r="P519" s="87" t="s">
        <v>73</v>
      </c>
      <c r="Q519" s="87"/>
      <c r="R519" s="87"/>
      <c r="S519" s="87"/>
      <c r="T519" s="87"/>
      <c r="U519" s="87"/>
      <c r="V519" s="90" t="str">
        <f t="shared" si="48"/>
        <v>Distrital</v>
      </c>
      <c r="W519" s="87" t="s">
        <v>73</v>
      </c>
      <c r="X519" s="87"/>
      <c r="Y519" s="87"/>
      <c r="Z519" s="87"/>
      <c r="AA519" s="87"/>
      <c r="AB519" s="87"/>
      <c r="AC519" s="90" t="str">
        <f t="shared" si="49"/>
        <v>Distrital</v>
      </c>
      <c r="AD519" s="87" t="s">
        <v>73</v>
      </c>
      <c r="AE519" s="87"/>
      <c r="AF519" s="87"/>
      <c r="AG519" s="87"/>
      <c r="AH519" s="87"/>
      <c r="AI519" s="87"/>
      <c r="AJ519" s="87"/>
      <c r="AK519" s="87"/>
      <c r="AL519" s="87"/>
      <c r="AM519" s="87"/>
      <c r="AN519" s="90" t="s">
        <v>160</v>
      </c>
      <c r="AO519" s="90" t="s">
        <v>2416</v>
      </c>
      <c r="AP519" s="82"/>
      <c r="AQ519" s="87" t="s">
        <v>59</v>
      </c>
      <c r="AR519" s="87" t="s">
        <v>80</v>
      </c>
      <c r="AS519" s="82"/>
      <c r="AT519" s="87">
        <v>2</v>
      </c>
      <c r="AU519" s="87">
        <v>5</v>
      </c>
      <c r="AV519" s="87">
        <f t="shared" si="46"/>
        <v>7</v>
      </c>
      <c r="AW519" s="87" t="str">
        <f t="shared" si="50"/>
        <v>Ninguna</v>
      </c>
      <c r="AX519" s="87" t="s">
        <v>75</v>
      </c>
      <c r="AY519" s="87"/>
      <c r="AZ519" s="87"/>
      <c r="BA519" s="91" t="s">
        <v>2417</v>
      </c>
      <c r="BB519" s="84"/>
      <c r="BC519" s="85"/>
      <c r="BD519" s="85"/>
    </row>
    <row r="520" spans="1:56" s="86" customFormat="1" ht="46.5" customHeight="1">
      <c r="A520" s="78">
        <v>515</v>
      </c>
      <c r="B520" s="79" t="s">
        <v>2418</v>
      </c>
      <c r="C520" s="88">
        <v>45442</v>
      </c>
      <c r="D520" s="89">
        <v>0.70833333333333337</v>
      </c>
      <c r="E520" s="87" t="s">
        <v>93</v>
      </c>
      <c r="F520" s="87" t="s">
        <v>102</v>
      </c>
      <c r="G520" s="87" t="s">
        <v>95</v>
      </c>
      <c r="H520" s="90" t="s">
        <v>2419</v>
      </c>
      <c r="I520" s="90" t="s">
        <v>118</v>
      </c>
      <c r="J520" s="87" t="s">
        <v>70</v>
      </c>
      <c r="K520" s="87" t="s">
        <v>129</v>
      </c>
      <c r="L520" s="90" t="s">
        <v>1009</v>
      </c>
      <c r="M520" s="91">
        <v>3188799909</v>
      </c>
      <c r="N520" s="90" t="s">
        <v>1351</v>
      </c>
      <c r="O520" s="90" t="str">
        <f t="shared" ref="O520:O553" si="51">_xlfn.TEXTJOIN(", ",TRUE,$P520:$T520)</f>
        <v>Distrital</v>
      </c>
      <c r="P520" s="87" t="s">
        <v>73</v>
      </c>
      <c r="Q520" s="87"/>
      <c r="R520" s="87"/>
      <c r="S520" s="87"/>
      <c r="T520" s="87"/>
      <c r="U520" s="87"/>
      <c r="V520" s="90" t="str">
        <f t="shared" ref="V520:V581" si="52">_xlfn.TEXTJOIN(", ",TRUE,$W520:$AB520)</f>
        <v>Distrital</v>
      </c>
      <c r="W520" s="87" t="s">
        <v>73</v>
      </c>
      <c r="X520" s="87"/>
      <c r="Y520" s="87"/>
      <c r="Z520" s="87"/>
      <c r="AA520" s="87"/>
      <c r="AB520" s="87"/>
      <c r="AC520" s="90" t="str">
        <f t="shared" ref="AC520:AC581" si="53">_xlfn.TEXTJOIN(", ",TRUE,$AD520:$AM520)</f>
        <v>Distrital</v>
      </c>
      <c r="AD520" s="87" t="s">
        <v>73</v>
      </c>
      <c r="AE520" s="87"/>
      <c r="AF520" s="87"/>
      <c r="AG520" s="87"/>
      <c r="AH520" s="87"/>
      <c r="AI520" s="87"/>
      <c r="AJ520" s="87"/>
      <c r="AK520" s="87"/>
      <c r="AL520" s="87"/>
      <c r="AM520" s="87"/>
      <c r="AN520" s="90" t="s">
        <v>129</v>
      </c>
      <c r="AO520" s="92" t="s">
        <v>2420</v>
      </c>
      <c r="AP520" s="82"/>
      <c r="AQ520" s="87" t="s">
        <v>59</v>
      </c>
      <c r="AR520" s="87" t="s">
        <v>80</v>
      </c>
      <c r="AS520" s="82"/>
      <c r="AT520" s="87">
        <v>70</v>
      </c>
      <c r="AU520" s="87">
        <v>2</v>
      </c>
      <c r="AV520" s="87">
        <f t="shared" si="46"/>
        <v>72</v>
      </c>
      <c r="AW520" s="87" t="str">
        <f t="shared" si="50"/>
        <v>Ninguna</v>
      </c>
      <c r="AX520" s="87" t="s">
        <v>75</v>
      </c>
      <c r="AY520" s="87"/>
      <c r="AZ520" s="87"/>
      <c r="BA520" s="91" t="s">
        <v>2421</v>
      </c>
      <c r="BB520" s="84"/>
      <c r="BC520" s="85"/>
      <c r="BD520" s="85"/>
    </row>
    <row r="521" spans="1:56" s="86" customFormat="1" ht="46.5" customHeight="1">
      <c r="A521" s="87">
        <v>516</v>
      </c>
      <c r="B521" s="79" t="s">
        <v>668</v>
      </c>
      <c r="C521" s="88">
        <v>45442</v>
      </c>
      <c r="D521" s="89">
        <v>0.375</v>
      </c>
      <c r="E521" s="87" t="s">
        <v>93</v>
      </c>
      <c r="F521" s="87" t="s">
        <v>321</v>
      </c>
      <c r="G521" s="87" t="s">
        <v>95</v>
      </c>
      <c r="H521" s="90" t="s">
        <v>2422</v>
      </c>
      <c r="I521" s="90" t="s">
        <v>64</v>
      </c>
      <c r="J521" s="87" t="s">
        <v>70</v>
      </c>
      <c r="K521" s="87" t="s">
        <v>1810</v>
      </c>
      <c r="L521" s="90" t="s">
        <v>2423</v>
      </c>
      <c r="M521" s="91">
        <v>3202966775</v>
      </c>
      <c r="N521" s="90" t="s">
        <v>1316</v>
      </c>
      <c r="O521" s="90" t="str">
        <f t="shared" si="51"/>
        <v>Usme</v>
      </c>
      <c r="P521" s="87" t="s">
        <v>670</v>
      </c>
      <c r="Q521" s="87"/>
      <c r="R521" s="87"/>
      <c r="S521" s="87"/>
      <c r="T521" s="87"/>
      <c r="U521" s="87"/>
      <c r="V521" s="90" t="str">
        <f t="shared" si="52"/>
        <v>Suroriente</v>
      </c>
      <c r="W521" s="87" t="s">
        <v>108</v>
      </c>
      <c r="X521" s="87"/>
      <c r="Y521" s="87"/>
      <c r="Z521" s="87"/>
      <c r="AA521" s="87"/>
      <c r="AB521" s="87"/>
      <c r="AC521" s="90" t="str">
        <f t="shared" si="53"/>
        <v>Usme Entrenubes, Rafael Uribe, Cuenca del Tunjuelo, Cerros Orientales</v>
      </c>
      <c r="AD521" s="87" t="s">
        <v>671</v>
      </c>
      <c r="AE521" s="87" t="s">
        <v>467</v>
      </c>
      <c r="AF521" s="87" t="s">
        <v>112</v>
      </c>
      <c r="AG521" s="87" t="s">
        <v>222</v>
      </c>
      <c r="AH521" s="87"/>
      <c r="AI521" s="87"/>
      <c r="AJ521" s="87"/>
      <c r="AK521" s="87"/>
      <c r="AL521" s="87"/>
      <c r="AM521" s="87"/>
      <c r="AN521" s="90" t="s">
        <v>160</v>
      </c>
      <c r="AO521" s="92" t="s">
        <v>2424</v>
      </c>
      <c r="AP521" s="82"/>
      <c r="AQ521" s="87" t="s">
        <v>59</v>
      </c>
      <c r="AR521" s="87" t="s">
        <v>80</v>
      </c>
      <c r="AS521" s="82"/>
      <c r="AT521" s="87">
        <v>12</v>
      </c>
      <c r="AU521" s="87">
        <v>1</v>
      </c>
      <c r="AV521" s="87">
        <f t="shared" si="46"/>
        <v>13</v>
      </c>
      <c r="AW521" s="87" t="str">
        <f t="shared" si="50"/>
        <v>Ninguna</v>
      </c>
      <c r="AX521" s="87" t="s">
        <v>75</v>
      </c>
      <c r="AY521" s="87"/>
      <c r="AZ521" s="87"/>
      <c r="BA521" s="91" t="s">
        <v>2425</v>
      </c>
      <c r="BB521" s="84"/>
      <c r="BC521" s="85"/>
      <c r="BD521" s="85"/>
    </row>
    <row r="522" spans="1:56" s="86" customFormat="1" ht="46.5" customHeight="1">
      <c r="A522" s="78">
        <v>517</v>
      </c>
      <c r="B522" s="79" t="s">
        <v>2426</v>
      </c>
      <c r="C522" s="88">
        <v>45443</v>
      </c>
      <c r="D522" s="89">
        <v>0.41666666666666669</v>
      </c>
      <c r="E522" s="87" t="s">
        <v>58</v>
      </c>
      <c r="F522" s="87" t="s">
        <v>1142</v>
      </c>
      <c r="G522" s="87" t="s">
        <v>62</v>
      </c>
      <c r="H522" s="90" t="s">
        <v>2427</v>
      </c>
      <c r="I522" s="90" t="s">
        <v>64</v>
      </c>
      <c r="J522" s="87" t="s">
        <v>119</v>
      </c>
      <c r="K522" s="87" t="s">
        <v>209</v>
      </c>
      <c r="L522" s="90" t="s">
        <v>1144</v>
      </c>
      <c r="M522" s="91">
        <v>3148396805</v>
      </c>
      <c r="N522" s="90" t="s">
        <v>1145</v>
      </c>
      <c r="O522" s="90" t="str">
        <f t="shared" si="51"/>
        <v>Distrital</v>
      </c>
      <c r="P522" s="87" t="s">
        <v>73</v>
      </c>
      <c r="Q522" s="87"/>
      <c r="R522" s="87"/>
      <c r="S522" s="87"/>
      <c r="T522" s="87"/>
      <c r="U522" s="87"/>
      <c r="V522" s="90" t="str">
        <f t="shared" si="52"/>
        <v>Distrital</v>
      </c>
      <c r="W522" s="87" t="s">
        <v>73</v>
      </c>
      <c r="X522" s="87"/>
      <c r="Y522" s="87"/>
      <c r="Z522" s="87"/>
      <c r="AA522" s="87"/>
      <c r="AB522" s="87"/>
      <c r="AC522" s="90" t="str">
        <f t="shared" si="53"/>
        <v>Distrital</v>
      </c>
      <c r="AD522" s="87" t="s">
        <v>73</v>
      </c>
      <c r="AE522" s="87"/>
      <c r="AF522" s="87"/>
      <c r="AG522" s="87"/>
      <c r="AH522" s="87"/>
      <c r="AI522" s="87"/>
      <c r="AJ522" s="87"/>
      <c r="AK522" s="87"/>
      <c r="AL522" s="87"/>
      <c r="AM522" s="87"/>
      <c r="AN522" s="90" t="s">
        <v>2428</v>
      </c>
      <c r="AO522" s="90" t="s">
        <v>2429</v>
      </c>
      <c r="AP522" s="82"/>
      <c r="AQ522" s="87" t="s">
        <v>59</v>
      </c>
      <c r="AR522" s="87" t="s">
        <v>80</v>
      </c>
      <c r="AS522" s="82"/>
      <c r="AT522" s="87">
        <v>3</v>
      </c>
      <c r="AU522" s="87">
        <v>3</v>
      </c>
      <c r="AV522" s="87">
        <f t="shared" si="46"/>
        <v>6</v>
      </c>
      <c r="AW522" s="87" t="str">
        <f t="shared" si="50"/>
        <v>Ninguna</v>
      </c>
      <c r="AX522" s="87" t="s">
        <v>75</v>
      </c>
      <c r="AY522" s="87"/>
      <c r="AZ522" s="87"/>
      <c r="BA522" s="91" t="s">
        <v>2430</v>
      </c>
      <c r="BB522" s="84"/>
      <c r="BC522" s="85"/>
      <c r="BD522" s="85"/>
    </row>
    <row r="523" spans="1:56" s="86" customFormat="1" ht="46.5" customHeight="1">
      <c r="A523" s="87">
        <v>518</v>
      </c>
      <c r="B523" s="79" t="s">
        <v>2431</v>
      </c>
      <c r="C523" s="88">
        <v>45443</v>
      </c>
      <c r="D523" s="89">
        <v>0.41666666666666669</v>
      </c>
      <c r="E523" s="87" t="s">
        <v>58</v>
      </c>
      <c r="F523" s="87" t="s">
        <v>1437</v>
      </c>
      <c r="G523" s="87" t="s">
        <v>95</v>
      </c>
      <c r="H523" s="90" t="s">
        <v>2432</v>
      </c>
      <c r="I523" s="90" t="s">
        <v>64</v>
      </c>
      <c r="J523" s="87" t="s">
        <v>70</v>
      </c>
      <c r="K523" s="87"/>
      <c r="L523" s="90" t="s">
        <v>72</v>
      </c>
      <c r="M523" s="91" t="s">
        <v>1317</v>
      </c>
      <c r="N523" s="90" t="s">
        <v>72</v>
      </c>
      <c r="O523" s="90" t="str">
        <f t="shared" si="51"/>
        <v>Distrital</v>
      </c>
      <c r="P523" s="87" t="s">
        <v>73</v>
      </c>
      <c r="Q523" s="87"/>
      <c r="R523" s="87"/>
      <c r="S523" s="87"/>
      <c r="T523" s="87"/>
      <c r="U523" s="87"/>
      <c r="V523" s="90" t="str">
        <f t="shared" si="52"/>
        <v>Distrital</v>
      </c>
      <c r="W523" s="87" t="s">
        <v>73</v>
      </c>
      <c r="X523" s="87"/>
      <c r="Y523" s="87"/>
      <c r="Z523" s="87"/>
      <c r="AA523" s="87"/>
      <c r="AB523" s="87"/>
      <c r="AC523" s="90" t="str">
        <f t="shared" si="53"/>
        <v>Distrital</v>
      </c>
      <c r="AD523" s="87" t="s">
        <v>73</v>
      </c>
      <c r="AE523" s="87"/>
      <c r="AF523" s="87"/>
      <c r="AG523" s="87"/>
      <c r="AH523" s="87"/>
      <c r="AI523" s="87"/>
      <c r="AJ523" s="87"/>
      <c r="AK523" s="87"/>
      <c r="AL523" s="87"/>
      <c r="AM523" s="87"/>
      <c r="AN523" s="90" t="s">
        <v>160</v>
      </c>
      <c r="AO523" s="92" t="s">
        <v>1923</v>
      </c>
      <c r="AP523" s="82"/>
      <c r="AQ523" s="87" t="s">
        <v>59</v>
      </c>
      <c r="AR523" s="87" t="s">
        <v>80</v>
      </c>
      <c r="AS523" s="82"/>
      <c r="AT523" s="87">
        <v>2</v>
      </c>
      <c r="AU523" s="87">
        <v>4</v>
      </c>
      <c r="AV523" s="87">
        <f>AT523+AU523</f>
        <v>6</v>
      </c>
      <c r="AW523" s="87" t="str">
        <f t="shared" si="50"/>
        <v>Ninguna</v>
      </c>
      <c r="AX523" s="87" t="s">
        <v>75</v>
      </c>
      <c r="AY523" s="87"/>
      <c r="AZ523" s="87"/>
      <c r="BA523" s="91" t="s">
        <v>2433</v>
      </c>
      <c r="BB523" s="84"/>
      <c r="BC523" s="85"/>
      <c r="BD523" s="85"/>
    </row>
    <row r="524" spans="1:56" s="86" customFormat="1" ht="46.5" customHeight="1">
      <c r="A524" s="78">
        <v>519</v>
      </c>
      <c r="B524" s="79" t="s">
        <v>2434</v>
      </c>
      <c r="C524" s="88">
        <v>45443</v>
      </c>
      <c r="D524" s="89">
        <v>0.58333333333333337</v>
      </c>
      <c r="E524" s="87" t="s">
        <v>58</v>
      </c>
      <c r="F524" s="87" t="s">
        <v>2227</v>
      </c>
      <c r="G524" s="87" t="s">
        <v>62</v>
      </c>
      <c r="H524" s="90" t="s">
        <v>2435</v>
      </c>
      <c r="I524" s="90" t="s">
        <v>118</v>
      </c>
      <c r="J524" s="87" t="s">
        <v>173</v>
      </c>
      <c r="K524" s="87" t="s">
        <v>120</v>
      </c>
      <c r="L524" s="90" t="s">
        <v>2436</v>
      </c>
      <c r="M524" s="91">
        <v>3228657280</v>
      </c>
      <c r="N524" s="90" t="s">
        <v>2257</v>
      </c>
      <c r="O524" s="90" t="str">
        <f t="shared" si="51"/>
        <v>Teusaquillo</v>
      </c>
      <c r="P524" s="87" t="s">
        <v>665</v>
      </c>
      <c r="Q524" s="87"/>
      <c r="R524" s="87"/>
      <c r="S524" s="87"/>
      <c r="T524" s="87"/>
      <c r="U524" s="87"/>
      <c r="V524" s="90" t="str">
        <f t="shared" si="52"/>
        <v>Centro Ampliado</v>
      </c>
      <c r="W524" s="87" t="s">
        <v>415</v>
      </c>
      <c r="X524" s="87"/>
      <c r="Y524" s="87"/>
      <c r="Z524" s="87"/>
      <c r="AA524" s="87"/>
      <c r="AB524" s="87"/>
      <c r="AC524" s="90" t="str">
        <f t="shared" si="53"/>
        <v>Teusaquillo</v>
      </c>
      <c r="AD524" s="87" t="s">
        <v>665</v>
      </c>
      <c r="AE524" s="87"/>
      <c r="AF524" s="87"/>
      <c r="AG524" s="87"/>
      <c r="AH524" s="87"/>
      <c r="AI524" s="87"/>
      <c r="AJ524" s="87"/>
      <c r="AK524" s="87"/>
      <c r="AL524" s="87"/>
      <c r="AM524" s="87"/>
      <c r="AN524" s="90" t="s">
        <v>665</v>
      </c>
      <c r="AO524" s="90" t="s">
        <v>2437</v>
      </c>
      <c r="AP524" s="82"/>
      <c r="AQ524" s="87" t="s">
        <v>59</v>
      </c>
      <c r="AR524" s="87" t="s">
        <v>80</v>
      </c>
      <c r="AS524" s="82"/>
      <c r="AT524" s="87">
        <v>8</v>
      </c>
      <c r="AU524" s="87">
        <v>8</v>
      </c>
      <c r="AV524" s="87">
        <f t="shared" si="46"/>
        <v>16</v>
      </c>
      <c r="AW524" s="87" t="str">
        <f t="shared" si="50"/>
        <v>Ninguna</v>
      </c>
      <c r="AX524" s="87" t="s">
        <v>75</v>
      </c>
      <c r="AY524" s="87"/>
      <c r="AZ524" s="87"/>
      <c r="BA524" s="91" t="s">
        <v>2438</v>
      </c>
      <c r="BB524" s="84"/>
      <c r="BC524" s="85"/>
      <c r="BD524" s="85"/>
    </row>
    <row r="525" spans="1:56" s="86" customFormat="1" ht="46.5" customHeight="1">
      <c r="A525" s="87">
        <v>520</v>
      </c>
      <c r="B525" s="79" t="s">
        <v>2439</v>
      </c>
      <c r="C525" s="88">
        <v>45443</v>
      </c>
      <c r="D525" s="89">
        <v>0.625</v>
      </c>
      <c r="E525" s="87" t="s">
        <v>58</v>
      </c>
      <c r="F525" s="87" t="s">
        <v>1184</v>
      </c>
      <c r="G525" s="87" t="s">
        <v>95</v>
      </c>
      <c r="H525" s="90" t="s">
        <v>2440</v>
      </c>
      <c r="I525" s="90" t="s">
        <v>64</v>
      </c>
      <c r="J525" s="87" t="s">
        <v>70</v>
      </c>
      <c r="K525" s="87" t="s">
        <v>71</v>
      </c>
      <c r="L525" s="90" t="s">
        <v>2441</v>
      </c>
      <c r="M525" s="91">
        <v>3192173863</v>
      </c>
      <c r="N525" s="90" t="s">
        <v>2016</v>
      </c>
      <c r="O525" s="90" t="str">
        <f t="shared" si="51"/>
        <v>Distrital</v>
      </c>
      <c r="P525" s="87" t="s">
        <v>73</v>
      </c>
      <c r="Q525" s="87"/>
      <c r="R525" s="87"/>
      <c r="S525" s="87"/>
      <c r="T525" s="87"/>
      <c r="U525" s="87"/>
      <c r="V525" s="90" t="str">
        <f t="shared" si="52"/>
        <v>Distrital</v>
      </c>
      <c r="W525" s="87" t="s">
        <v>73</v>
      </c>
      <c r="X525" s="87"/>
      <c r="Y525" s="87"/>
      <c r="Z525" s="87"/>
      <c r="AA525" s="87"/>
      <c r="AB525" s="87"/>
      <c r="AC525" s="90" t="str">
        <f t="shared" si="53"/>
        <v>Distrital</v>
      </c>
      <c r="AD525" s="87" t="s">
        <v>73</v>
      </c>
      <c r="AE525" s="87"/>
      <c r="AF525" s="87"/>
      <c r="AG525" s="87"/>
      <c r="AH525" s="87"/>
      <c r="AI525" s="87"/>
      <c r="AJ525" s="87"/>
      <c r="AK525" s="87"/>
      <c r="AL525" s="87"/>
      <c r="AM525" s="87"/>
      <c r="AN525" s="90" t="s">
        <v>160</v>
      </c>
      <c r="AO525" s="92" t="s">
        <v>2442</v>
      </c>
      <c r="AP525" s="82"/>
      <c r="AQ525" s="87" t="s">
        <v>59</v>
      </c>
      <c r="AR525" s="87" t="s">
        <v>80</v>
      </c>
      <c r="AS525" s="82"/>
      <c r="AT525" s="87">
        <v>7</v>
      </c>
      <c r="AU525" s="87">
        <v>2</v>
      </c>
      <c r="AV525" s="87">
        <f t="shared" si="46"/>
        <v>9</v>
      </c>
      <c r="AW525" s="87" t="str">
        <f t="shared" si="50"/>
        <v>Ninguna</v>
      </c>
      <c r="AX525" s="87" t="s">
        <v>75</v>
      </c>
      <c r="AY525" s="87"/>
      <c r="AZ525" s="87"/>
      <c r="BA525" s="91" t="s">
        <v>2443</v>
      </c>
      <c r="BB525" s="84"/>
      <c r="BC525" s="85"/>
      <c r="BD525" s="85"/>
    </row>
    <row r="526" spans="1:56" s="86" customFormat="1" ht="46.5" customHeight="1">
      <c r="A526" s="78">
        <v>521</v>
      </c>
      <c r="B526" s="79" t="s">
        <v>2444</v>
      </c>
      <c r="C526" s="88">
        <v>45446</v>
      </c>
      <c r="D526" s="89">
        <v>0.41666666666666669</v>
      </c>
      <c r="E526" s="87" t="s">
        <v>562</v>
      </c>
      <c r="F526" s="87" t="s">
        <v>2445</v>
      </c>
      <c r="G526" s="87" t="s">
        <v>62</v>
      </c>
      <c r="H526" s="90" t="s">
        <v>2446</v>
      </c>
      <c r="I526" s="90" t="s">
        <v>172</v>
      </c>
      <c r="J526" s="87" t="s">
        <v>173</v>
      </c>
      <c r="K526" s="87"/>
      <c r="L526" s="90" t="s">
        <v>325</v>
      </c>
      <c r="M526" s="91" t="s">
        <v>326</v>
      </c>
      <c r="N526" s="90" t="s">
        <v>2447</v>
      </c>
      <c r="O526" s="90" t="str">
        <f t="shared" si="51"/>
        <v>Sumapaz</v>
      </c>
      <c r="P526" s="87" t="s">
        <v>327</v>
      </c>
      <c r="Q526" s="87"/>
      <c r="R526" s="87"/>
      <c r="S526" s="87"/>
      <c r="T526" s="87"/>
      <c r="U526" s="87"/>
      <c r="V526" s="90" t="str">
        <f t="shared" si="52"/>
        <v>Ruralidad</v>
      </c>
      <c r="W526" s="87" t="s">
        <v>109</v>
      </c>
      <c r="X526" s="87"/>
      <c r="Y526" s="87"/>
      <c r="Z526" s="87"/>
      <c r="AA526" s="87"/>
      <c r="AB526" s="87"/>
      <c r="AC526" s="90" t="str">
        <f t="shared" si="53"/>
        <v>Sumapaz</v>
      </c>
      <c r="AD526" s="87" t="s">
        <v>327</v>
      </c>
      <c r="AE526" s="87"/>
      <c r="AF526" s="87"/>
      <c r="AG526" s="87"/>
      <c r="AH526" s="87"/>
      <c r="AI526" s="87"/>
      <c r="AJ526" s="87"/>
      <c r="AK526" s="87"/>
      <c r="AL526" s="87"/>
      <c r="AM526" s="87"/>
      <c r="AN526" s="90" t="s">
        <v>2448</v>
      </c>
      <c r="AO526" s="90" t="s">
        <v>2449</v>
      </c>
      <c r="AP526" s="82"/>
      <c r="AQ526" s="87" t="s">
        <v>59</v>
      </c>
      <c r="AR526" s="87" t="s">
        <v>80</v>
      </c>
      <c r="AS526" s="82"/>
      <c r="AT526" s="87">
        <v>120</v>
      </c>
      <c r="AU526" s="87">
        <v>1</v>
      </c>
      <c r="AV526" s="87">
        <f t="shared" si="46"/>
        <v>121</v>
      </c>
      <c r="AW526" s="87" t="str">
        <f t="shared" si="50"/>
        <v>Horarios Acordes</v>
      </c>
      <c r="AX526" s="87" t="s">
        <v>213</v>
      </c>
      <c r="AY526" s="87"/>
      <c r="AZ526" s="87"/>
      <c r="BA526" s="91" t="s">
        <v>2450</v>
      </c>
      <c r="BB526" s="84"/>
      <c r="BC526" s="85"/>
      <c r="BD526" s="85"/>
    </row>
    <row r="527" spans="1:56" s="86" customFormat="1" ht="46.5" customHeight="1">
      <c r="A527" s="87">
        <v>522</v>
      </c>
      <c r="B527" s="79" t="s">
        <v>2451</v>
      </c>
      <c r="C527" s="88">
        <v>45447</v>
      </c>
      <c r="D527" s="89">
        <v>0.33333333333333331</v>
      </c>
      <c r="E527" s="87" t="s">
        <v>93</v>
      </c>
      <c r="F527" s="87" t="s">
        <v>321</v>
      </c>
      <c r="G527" s="87" t="s">
        <v>62</v>
      </c>
      <c r="H527" s="90" t="s">
        <v>2452</v>
      </c>
      <c r="I527" s="90" t="s">
        <v>64</v>
      </c>
      <c r="J527" s="87" t="s">
        <v>70</v>
      </c>
      <c r="K527" s="87" t="s">
        <v>1810</v>
      </c>
      <c r="L527" s="90" t="s">
        <v>1088</v>
      </c>
      <c r="M527" s="91">
        <v>3012144352</v>
      </c>
      <c r="N527" s="90" t="s">
        <v>72</v>
      </c>
      <c r="O527" s="90" t="str">
        <f t="shared" si="51"/>
        <v>Santa Fe</v>
      </c>
      <c r="P527" s="87" t="s">
        <v>541</v>
      </c>
      <c r="Q527" s="87"/>
      <c r="R527" s="87"/>
      <c r="S527" s="87"/>
      <c r="T527" s="87"/>
      <c r="U527" s="87"/>
      <c r="V527" s="90" t="str">
        <f t="shared" si="52"/>
        <v>Centro Ampliado, Ruralidad</v>
      </c>
      <c r="W527" s="87" t="s">
        <v>415</v>
      </c>
      <c r="X527" s="87" t="s">
        <v>109</v>
      </c>
      <c r="Y527" s="87"/>
      <c r="Z527" s="87"/>
      <c r="AA527" s="87"/>
      <c r="AB527" s="87"/>
      <c r="AC527" s="90" t="str">
        <f t="shared" si="53"/>
        <v>Centro Histórico, Cerros Orientales</v>
      </c>
      <c r="AD527" s="87" t="s">
        <v>488</v>
      </c>
      <c r="AE527" s="87" t="s">
        <v>222</v>
      </c>
      <c r="AF527" s="87"/>
      <c r="AG527" s="87"/>
      <c r="AH527" s="87"/>
      <c r="AI527" s="87"/>
      <c r="AJ527" s="87"/>
      <c r="AK527" s="87"/>
      <c r="AL527" s="87"/>
      <c r="AM527" s="87"/>
      <c r="AN527" s="90" t="s">
        <v>160</v>
      </c>
      <c r="AO527" s="90" t="s">
        <v>2453</v>
      </c>
      <c r="AP527" s="82"/>
      <c r="AQ527" s="87" t="s">
        <v>59</v>
      </c>
      <c r="AR527" s="87" t="s">
        <v>80</v>
      </c>
      <c r="AS527" s="82"/>
      <c r="AT527" s="87">
        <v>19</v>
      </c>
      <c r="AU527" s="87">
        <v>1</v>
      </c>
      <c r="AV527" s="87">
        <f t="shared" si="46"/>
        <v>20</v>
      </c>
      <c r="AW527" s="87" t="str">
        <f t="shared" si="50"/>
        <v>Contenidos adaptados</v>
      </c>
      <c r="AX527" s="87" t="s">
        <v>212</v>
      </c>
      <c r="AY527" s="87"/>
      <c r="AZ527" s="87"/>
      <c r="BA527" s="91" t="s">
        <v>2454</v>
      </c>
      <c r="BB527" s="84"/>
      <c r="BC527" s="85"/>
      <c r="BD527" s="85"/>
    </row>
    <row r="528" spans="1:56" s="86" customFormat="1" ht="46.5" customHeight="1">
      <c r="A528" s="78">
        <v>523</v>
      </c>
      <c r="B528" s="79" t="s">
        <v>1096</v>
      </c>
      <c r="C528" s="88">
        <v>45447</v>
      </c>
      <c r="D528" s="89">
        <v>0.58333333333333337</v>
      </c>
      <c r="E528" s="87" t="s">
        <v>93</v>
      </c>
      <c r="F528" s="87" t="s">
        <v>321</v>
      </c>
      <c r="G528" s="87" t="s">
        <v>62</v>
      </c>
      <c r="H528" s="90" t="s">
        <v>2455</v>
      </c>
      <c r="I528" s="90" t="s">
        <v>64</v>
      </c>
      <c r="J528" s="87" t="s">
        <v>70</v>
      </c>
      <c r="K528" s="87" t="s">
        <v>1810</v>
      </c>
      <c r="L528" s="90" t="s">
        <v>2456</v>
      </c>
      <c r="M528" s="91">
        <v>3188356139</v>
      </c>
      <c r="N528" s="90" t="s">
        <v>1099</v>
      </c>
      <c r="O528" s="90" t="str">
        <f t="shared" si="51"/>
        <v>Fontibón</v>
      </c>
      <c r="P528" s="87" t="s">
        <v>420</v>
      </c>
      <c r="Q528" s="87"/>
      <c r="R528" s="87"/>
      <c r="S528" s="87"/>
      <c r="T528" s="87"/>
      <c r="U528" s="87"/>
      <c r="V528" s="90" t="str">
        <f t="shared" si="52"/>
        <v>Occidente</v>
      </c>
      <c r="W528" s="87" t="s">
        <v>124</v>
      </c>
      <c r="X528" s="87"/>
      <c r="Y528" s="87"/>
      <c r="Z528" s="87"/>
      <c r="AA528" s="87"/>
      <c r="AB528" s="87"/>
      <c r="AC528" s="90" t="str">
        <f t="shared" si="53"/>
        <v>Fontibón, Salitre</v>
      </c>
      <c r="AD528" s="87" t="s">
        <v>420</v>
      </c>
      <c r="AE528" s="87" t="s">
        <v>258</v>
      </c>
      <c r="AF528" s="87"/>
      <c r="AG528" s="87"/>
      <c r="AH528" s="87"/>
      <c r="AI528" s="87"/>
      <c r="AJ528" s="87"/>
      <c r="AK528" s="87"/>
      <c r="AL528" s="87"/>
      <c r="AM528" s="87"/>
      <c r="AN528" s="90" t="s">
        <v>2457</v>
      </c>
      <c r="AO528" s="90" t="s">
        <v>2458</v>
      </c>
      <c r="AP528" s="82"/>
      <c r="AQ528" s="87" t="s">
        <v>59</v>
      </c>
      <c r="AR528" s="87" t="s">
        <v>80</v>
      </c>
      <c r="AS528" s="82"/>
      <c r="AT528" s="87">
        <v>18</v>
      </c>
      <c r="AU528" s="87">
        <v>2</v>
      </c>
      <c r="AV528" s="87">
        <f t="shared" si="46"/>
        <v>20</v>
      </c>
      <c r="AW528" s="87" t="str">
        <f t="shared" si="50"/>
        <v>Horarios Acordes</v>
      </c>
      <c r="AX528" s="87" t="s">
        <v>213</v>
      </c>
      <c r="AY528" s="87"/>
      <c r="AZ528" s="87"/>
      <c r="BA528" s="91" t="s">
        <v>2459</v>
      </c>
      <c r="BB528" s="84"/>
      <c r="BC528" s="85"/>
      <c r="BD528" s="85"/>
    </row>
    <row r="529" spans="1:56" s="86" customFormat="1" ht="46.5" customHeight="1">
      <c r="A529" s="87">
        <v>524</v>
      </c>
      <c r="B529" s="79" t="s">
        <v>1860</v>
      </c>
      <c r="C529" s="88">
        <v>45447</v>
      </c>
      <c r="D529" s="89">
        <v>0.70833333333333337</v>
      </c>
      <c r="E529" s="87" t="s">
        <v>93</v>
      </c>
      <c r="F529" s="87" t="s">
        <v>102</v>
      </c>
      <c r="G529" s="87" t="s">
        <v>95</v>
      </c>
      <c r="H529" s="90" t="s">
        <v>2460</v>
      </c>
      <c r="I529" s="90" t="s">
        <v>118</v>
      </c>
      <c r="J529" s="87" t="s">
        <v>119</v>
      </c>
      <c r="K529" s="87" t="s">
        <v>129</v>
      </c>
      <c r="L529" s="90" t="s">
        <v>407</v>
      </c>
      <c r="M529" s="91">
        <v>3188799909</v>
      </c>
      <c r="N529" s="90" t="s">
        <v>439</v>
      </c>
      <c r="O529" s="90" t="str">
        <f t="shared" si="51"/>
        <v>Distrital</v>
      </c>
      <c r="P529" s="87" t="s">
        <v>73</v>
      </c>
      <c r="Q529" s="87"/>
      <c r="R529" s="87"/>
      <c r="S529" s="87"/>
      <c r="T529" s="87"/>
      <c r="U529" s="87"/>
      <c r="V529" s="90" t="str">
        <f t="shared" si="52"/>
        <v>Distrital</v>
      </c>
      <c r="W529" s="87" t="s">
        <v>73</v>
      </c>
      <c r="X529" s="87"/>
      <c r="Y529" s="87"/>
      <c r="Z529" s="87"/>
      <c r="AA529" s="87"/>
      <c r="AB529" s="87"/>
      <c r="AC529" s="90" t="str">
        <f t="shared" si="53"/>
        <v>Distrital</v>
      </c>
      <c r="AD529" s="87" t="s">
        <v>73</v>
      </c>
      <c r="AE529" s="87"/>
      <c r="AF529" s="87"/>
      <c r="AG529" s="87"/>
      <c r="AH529" s="87"/>
      <c r="AI529" s="87"/>
      <c r="AJ529" s="87"/>
      <c r="AK529" s="87"/>
      <c r="AL529" s="87"/>
      <c r="AM529" s="87"/>
      <c r="AN529" s="90" t="s">
        <v>160</v>
      </c>
      <c r="AO529" s="92" t="s">
        <v>2461</v>
      </c>
      <c r="AP529" s="82"/>
      <c r="AQ529" s="87" t="s">
        <v>59</v>
      </c>
      <c r="AR529" s="87" t="s">
        <v>80</v>
      </c>
      <c r="AS529" s="82"/>
      <c r="AT529" s="87">
        <v>70</v>
      </c>
      <c r="AU529" s="87">
        <v>2</v>
      </c>
      <c r="AV529" s="87">
        <f t="shared" si="46"/>
        <v>72</v>
      </c>
      <c r="AW529" s="87" t="str">
        <f t="shared" si="50"/>
        <v>Ninguna</v>
      </c>
      <c r="AX529" s="87" t="s">
        <v>75</v>
      </c>
      <c r="AY529" s="87"/>
      <c r="AZ529" s="87"/>
      <c r="BA529" s="91" t="s">
        <v>2462</v>
      </c>
      <c r="BB529" s="84"/>
      <c r="BC529" s="85"/>
      <c r="BD529" s="85"/>
    </row>
    <row r="530" spans="1:56" s="86" customFormat="1" ht="46.5" customHeight="1">
      <c r="A530" s="78">
        <v>525</v>
      </c>
      <c r="B530" s="79" t="s">
        <v>2463</v>
      </c>
      <c r="C530" s="88">
        <v>45447</v>
      </c>
      <c r="D530" s="89">
        <v>0.45833333333333331</v>
      </c>
      <c r="E530" s="87" t="s">
        <v>58</v>
      </c>
      <c r="F530" s="87" t="s">
        <v>2121</v>
      </c>
      <c r="G530" s="87" t="s">
        <v>62</v>
      </c>
      <c r="H530" s="90" t="s">
        <v>2464</v>
      </c>
      <c r="I530" s="90" t="s">
        <v>118</v>
      </c>
      <c r="J530" s="87" t="s">
        <v>173</v>
      </c>
      <c r="K530" s="87"/>
      <c r="L530" s="90" t="s">
        <v>1070</v>
      </c>
      <c r="M530" s="91">
        <v>3125641672</v>
      </c>
      <c r="N530" s="90" t="s">
        <v>1071</v>
      </c>
      <c r="O530" s="90" t="str">
        <f t="shared" si="51"/>
        <v>Distrital</v>
      </c>
      <c r="P530" s="87" t="s">
        <v>73</v>
      </c>
      <c r="Q530" s="87"/>
      <c r="R530" s="87"/>
      <c r="S530" s="87"/>
      <c r="T530" s="87"/>
      <c r="U530" s="87"/>
      <c r="V530" s="90" t="str">
        <f t="shared" si="52"/>
        <v>Distrital</v>
      </c>
      <c r="W530" s="87" t="s">
        <v>73</v>
      </c>
      <c r="X530" s="87"/>
      <c r="Y530" s="87"/>
      <c r="Z530" s="87"/>
      <c r="AA530" s="87"/>
      <c r="AB530" s="87"/>
      <c r="AC530" s="90" t="str">
        <f t="shared" si="53"/>
        <v>Distrital</v>
      </c>
      <c r="AD530" s="87" t="s">
        <v>73</v>
      </c>
      <c r="AE530" s="87"/>
      <c r="AF530" s="87"/>
      <c r="AG530" s="87"/>
      <c r="AH530" s="87"/>
      <c r="AI530" s="87"/>
      <c r="AJ530" s="87"/>
      <c r="AK530" s="87"/>
      <c r="AL530" s="87"/>
      <c r="AM530" s="87"/>
      <c r="AN530" s="90" t="s">
        <v>2465</v>
      </c>
      <c r="AO530" s="90" t="s">
        <v>2466</v>
      </c>
      <c r="AP530" s="82"/>
      <c r="AQ530" s="87" t="s">
        <v>59</v>
      </c>
      <c r="AR530" s="87" t="s">
        <v>80</v>
      </c>
      <c r="AS530" s="82"/>
      <c r="AT530" s="87">
        <v>6</v>
      </c>
      <c r="AU530" s="87">
        <v>2</v>
      </c>
      <c r="AV530" s="87">
        <f t="shared" si="46"/>
        <v>8</v>
      </c>
      <c r="AW530" s="87" t="str">
        <f t="shared" si="50"/>
        <v>Ninguna</v>
      </c>
      <c r="AX530" s="87" t="s">
        <v>75</v>
      </c>
      <c r="AY530" s="87"/>
      <c r="AZ530" s="87"/>
      <c r="BA530" s="91" t="s">
        <v>2467</v>
      </c>
      <c r="BB530" s="84"/>
      <c r="BC530" s="85"/>
      <c r="BD530" s="85"/>
    </row>
    <row r="531" spans="1:56" s="86" customFormat="1" ht="46.5" customHeight="1">
      <c r="A531" s="87">
        <v>526</v>
      </c>
      <c r="B531" s="79" t="s">
        <v>2469</v>
      </c>
      <c r="C531" s="88">
        <v>45448</v>
      </c>
      <c r="D531" s="89">
        <v>0.33333333333333331</v>
      </c>
      <c r="E531" s="87" t="s">
        <v>58</v>
      </c>
      <c r="F531" s="87" t="s">
        <v>149</v>
      </c>
      <c r="G531" s="87" t="s">
        <v>95</v>
      </c>
      <c r="H531" s="90" t="s">
        <v>2470</v>
      </c>
      <c r="I531" s="90" t="s">
        <v>118</v>
      </c>
      <c r="J531" s="87" t="s">
        <v>70</v>
      </c>
      <c r="K531" s="87"/>
      <c r="L531" s="90" t="s">
        <v>72</v>
      </c>
      <c r="M531" s="90" t="s">
        <v>72</v>
      </c>
      <c r="N531" s="90" t="s">
        <v>72</v>
      </c>
      <c r="O531" s="90" t="str">
        <f t="shared" si="51"/>
        <v>Distrital</v>
      </c>
      <c r="P531" s="87" t="s">
        <v>73</v>
      </c>
      <c r="Q531" s="87"/>
      <c r="R531" s="87"/>
      <c r="S531" s="87"/>
      <c r="T531" s="87"/>
      <c r="U531" s="87"/>
      <c r="V531" s="90" t="str">
        <f t="shared" si="52"/>
        <v>Distrital</v>
      </c>
      <c r="W531" s="87" t="s">
        <v>73</v>
      </c>
      <c r="X531" s="87"/>
      <c r="Y531" s="87"/>
      <c r="Z531" s="87"/>
      <c r="AA531" s="87"/>
      <c r="AB531" s="87"/>
      <c r="AC531" s="90" t="str">
        <f t="shared" si="53"/>
        <v>Distrital</v>
      </c>
      <c r="AD531" s="87" t="s">
        <v>73</v>
      </c>
      <c r="AE531" s="87"/>
      <c r="AF531" s="87"/>
      <c r="AG531" s="87"/>
      <c r="AH531" s="87"/>
      <c r="AI531" s="87"/>
      <c r="AJ531" s="87"/>
      <c r="AK531" s="87"/>
      <c r="AL531" s="87"/>
      <c r="AM531" s="87"/>
      <c r="AN531" s="90" t="s">
        <v>2471</v>
      </c>
      <c r="AO531" s="92" t="s">
        <v>2472</v>
      </c>
      <c r="AP531" s="82"/>
      <c r="AQ531" s="87" t="s">
        <v>59</v>
      </c>
      <c r="AR531" s="87" t="s">
        <v>80</v>
      </c>
      <c r="AS531" s="82"/>
      <c r="AT531" s="87">
        <v>10</v>
      </c>
      <c r="AU531" s="87">
        <v>14</v>
      </c>
      <c r="AV531" s="87">
        <f t="shared" si="46"/>
        <v>24</v>
      </c>
      <c r="AW531" s="87" t="str">
        <f t="shared" si="50"/>
        <v>Ninguna</v>
      </c>
      <c r="AX531" s="87" t="s">
        <v>75</v>
      </c>
      <c r="AY531" s="87"/>
      <c r="AZ531" s="87"/>
      <c r="BA531" s="91" t="s">
        <v>2473</v>
      </c>
      <c r="BB531" s="84"/>
      <c r="BC531" s="85"/>
      <c r="BD531" s="85"/>
    </row>
    <row r="532" spans="1:56" s="86" customFormat="1" ht="46.5" customHeight="1">
      <c r="A532" s="78">
        <v>527</v>
      </c>
      <c r="B532" s="79" t="s">
        <v>320</v>
      </c>
      <c r="C532" s="88">
        <v>45448</v>
      </c>
      <c r="D532" s="89">
        <v>0.375</v>
      </c>
      <c r="E532" s="87" t="s">
        <v>93</v>
      </c>
      <c r="F532" s="87" t="s">
        <v>321</v>
      </c>
      <c r="G532" s="87" t="s">
        <v>95</v>
      </c>
      <c r="H532" s="90" t="s">
        <v>2474</v>
      </c>
      <c r="I532" s="90" t="s">
        <v>64</v>
      </c>
      <c r="J532" s="87" t="s">
        <v>70</v>
      </c>
      <c r="K532" s="87" t="s">
        <v>1810</v>
      </c>
      <c r="L532" s="90" t="s">
        <v>2475</v>
      </c>
      <c r="M532" s="91">
        <v>3144200711</v>
      </c>
      <c r="N532" s="93" t="s">
        <v>2476</v>
      </c>
      <c r="O532" s="90" t="str">
        <f t="shared" si="51"/>
        <v>Sumapaz</v>
      </c>
      <c r="P532" s="87" t="s">
        <v>327</v>
      </c>
      <c r="Q532" s="87"/>
      <c r="R532" s="87"/>
      <c r="S532" s="87"/>
      <c r="T532" s="87"/>
      <c r="U532" s="87"/>
      <c r="V532" s="90" t="str">
        <f t="shared" si="52"/>
        <v>Ruralidad</v>
      </c>
      <c r="W532" s="87" t="s">
        <v>109</v>
      </c>
      <c r="X532" s="87"/>
      <c r="Y532" s="87"/>
      <c r="Z532" s="87"/>
      <c r="AA532" s="87"/>
      <c r="AB532" s="87"/>
      <c r="AC532" s="90" t="str">
        <f t="shared" si="53"/>
        <v>Sumapaz</v>
      </c>
      <c r="AD532" s="87" t="s">
        <v>327</v>
      </c>
      <c r="AE532" s="87"/>
      <c r="AF532" s="87"/>
      <c r="AG532" s="87"/>
      <c r="AH532" s="87"/>
      <c r="AI532" s="87"/>
      <c r="AJ532" s="87"/>
      <c r="AK532" s="87"/>
      <c r="AL532" s="87"/>
      <c r="AM532" s="87"/>
      <c r="AN532" s="90" t="s">
        <v>2448</v>
      </c>
      <c r="AO532" s="92" t="s">
        <v>2477</v>
      </c>
      <c r="AP532" s="82"/>
      <c r="AQ532" s="87" t="s">
        <v>59</v>
      </c>
      <c r="AR532" s="87" t="s">
        <v>80</v>
      </c>
      <c r="AS532" s="82"/>
      <c r="AT532" s="87">
        <v>26</v>
      </c>
      <c r="AU532" s="87">
        <v>1</v>
      </c>
      <c r="AV532" s="87">
        <f t="shared" si="46"/>
        <v>27</v>
      </c>
      <c r="AW532" s="87" t="str">
        <f t="shared" si="50"/>
        <v>Ninguna</v>
      </c>
      <c r="AX532" s="87" t="s">
        <v>75</v>
      </c>
      <c r="AY532" s="87"/>
      <c r="AZ532" s="87"/>
      <c r="BA532" s="91" t="s">
        <v>2478</v>
      </c>
      <c r="BB532" s="84"/>
      <c r="BC532" s="85"/>
      <c r="BD532" s="85"/>
    </row>
    <row r="533" spans="1:56" s="86" customFormat="1" ht="46.5" customHeight="1">
      <c r="A533" s="87">
        <v>528</v>
      </c>
      <c r="B533" s="79" t="s">
        <v>2479</v>
      </c>
      <c r="C533" s="88">
        <v>45448</v>
      </c>
      <c r="D533" s="89">
        <v>0.4375</v>
      </c>
      <c r="E533" s="87" t="s">
        <v>58</v>
      </c>
      <c r="F533" s="87" t="s">
        <v>135</v>
      </c>
      <c r="G533" s="87" t="s">
        <v>95</v>
      </c>
      <c r="H533" s="90" t="s">
        <v>2480</v>
      </c>
      <c r="I533" s="90" t="s">
        <v>64</v>
      </c>
      <c r="J533" s="87" t="s">
        <v>119</v>
      </c>
      <c r="K533" s="87" t="s">
        <v>209</v>
      </c>
      <c r="L533" s="90" t="s">
        <v>2481</v>
      </c>
      <c r="M533" s="91">
        <v>3106185411</v>
      </c>
      <c r="N533" s="90" t="s">
        <v>2482</v>
      </c>
      <c r="O533" s="90" t="str">
        <f t="shared" si="51"/>
        <v>Distrital</v>
      </c>
      <c r="P533" s="87" t="s">
        <v>73</v>
      </c>
      <c r="Q533" s="87"/>
      <c r="R533" s="87"/>
      <c r="S533" s="87"/>
      <c r="T533" s="87"/>
      <c r="U533" s="87"/>
      <c r="V533" s="90" t="str">
        <f t="shared" si="52"/>
        <v>Distrital</v>
      </c>
      <c r="W533" s="87" t="s">
        <v>73</v>
      </c>
      <c r="X533" s="87"/>
      <c r="Y533" s="87"/>
      <c r="Z533" s="87"/>
      <c r="AA533" s="87"/>
      <c r="AB533" s="87"/>
      <c r="AC533" s="90" t="str">
        <f t="shared" si="53"/>
        <v>Distrital</v>
      </c>
      <c r="AD533" s="87" t="s">
        <v>73</v>
      </c>
      <c r="AE533" s="87"/>
      <c r="AF533" s="87"/>
      <c r="AG533" s="87"/>
      <c r="AH533" s="87"/>
      <c r="AI533" s="87"/>
      <c r="AJ533" s="87"/>
      <c r="AK533" s="87"/>
      <c r="AL533" s="87"/>
      <c r="AM533" s="87"/>
      <c r="AN533" s="90" t="s">
        <v>160</v>
      </c>
      <c r="AO533" s="92" t="s">
        <v>2483</v>
      </c>
      <c r="AP533" s="82"/>
      <c r="AQ533" s="87" t="s">
        <v>59</v>
      </c>
      <c r="AR533" s="87" t="s">
        <v>80</v>
      </c>
      <c r="AS533" s="82"/>
      <c r="AT533" s="87">
        <v>1</v>
      </c>
      <c r="AU533" s="87">
        <v>1</v>
      </c>
      <c r="AV533" s="87">
        <f t="shared" si="46"/>
        <v>2</v>
      </c>
      <c r="AW533" s="87" t="str">
        <f t="shared" si="50"/>
        <v>Ninguna</v>
      </c>
      <c r="AX533" s="87" t="s">
        <v>75</v>
      </c>
      <c r="AY533" s="87"/>
      <c r="AZ533" s="87"/>
      <c r="BA533" s="91" t="s">
        <v>2484</v>
      </c>
      <c r="BB533" s="84"/>
      <c r="BC533" s="85"/>
      <c r="BD533" s="85"/>
    </row>
    <row r="534" spans="1:56" s="86" customFormat="1" ht="46.5" customHeight="1">
      <c r="A534" s="78">
        <v>529</v>
      </c>
      <c r="B534" s="79" t="s">
        <v>463</v>
      </c>
      <c r="C534" s="88">
        <v>45448</v>
      </c>
      <c r="D534" s="89">
        <v>0.58333333333333337</v>
      </c>
      <c r="E534" s="87" t="s">
        <v>93</v>
      </c>
      <c r="F534" s="87" t="s">
        <v>321</v>
      </c>
      <c r="G534" s="87" t="s">
        <v>62</v>
      </c>
      <c r="H534" s="90" t="s">
        <v>2485</v>
      </c>
      <c r="I534" s="90" t="s">
        <v>64</v>
      </c>
      <c r="J534" s="87" t="s">
        <v>70</v>
      </c>
      <c r="K534" s="87" t="s">
        <v>1810</v>
      </c>
      <c r="L534" s="90" t="s">
        <v>2486</v>
      </c>
      <c r="M534" s="91">
        <v>3002578468</v>
      </c>
      <c r="N534" s="90" t="s">
        <v>1981</v>
      </c>
      <c r="O534" s="90" t="str">
        <f t="shared" si="51"/>
        <v>Rafael Uribe Uribe</v>
      </c>
      <c r="P534" s="87" t="s">
        <v>414</v>
      </c>
      <c r="Q534" s="87"/>
      <c r="R534" s="87"/>
      <c r="S534" s="87"/>
      <c r="T534" s="87"/>
      <c r="U534" s="87"/>
      <c r="V534" s="90" t="str">
        <f t="shared" si="52"/>
        <v>Suroriente, Centro Ampliado</v>
      </c>
      <c r="W534" s="87" t="s">
        <v>108</v>
      </c>
      <c r="X534" s="87" t="s">
        <v>415</v>
      </c>
      <c r="Y534" s="87"/>
      <c r="Z534" s="87"/>
      <c r="AA534" s="87"/>
      <c r="AB534" s="87"/>
      <c r="AC534" s="90" t="str">
        <f t="shared" si="53"/>
        <v>Rafael Uribe, Restrepo, San Cristobal</v>
      </c>
      <c r="AD534" s="87" t="s">
        <v>467</v>
      </c>
      <c r="AE534" s="87" t="s">
        <v>416</v>
      </c>
      <c r="AF534" s="87" t="s">
        <v>371</v>
      </c>
      <c r="AG534" s="87"/>
      <c r="AH534" s="87"/>
      <c r="AI534" s="87"/>
      <c r="AJ534" s="87"/>
      <c r="AK534" s="87"/>
      <c r="AL534" s="87"/>
      <c r="AM534" s="87"/>
      <c r="AN534" s="90" t="s">
        <v>2487</v>
      </c>
      <c r="AO534" s="90" t="s">
        <v>2488</v>
      </c>
      <c r="AP534" s="82"/>
      <c r="AQ534" s="87" t="s">
        <v>59</v>
      </c>
      <c r="AR534" s="87" t="s">
        <v>80</v>
      </c>
      <c r="AS534" s="82"/>
      <c r="AT534" s="87">
        <v>19</v>
      </c>
      <c r="AU534" s="87">
        <v>1</v>
      </c>
      <c r="AV534" s="87">
        <f t="shared" si="46"/>
        <v>20</v>
      </c>
      <c r="AW534" s="87" t="str">
        <f t="shared" si="50"/>
        <v>Ninguna</v>
      </c>
      <c r="AX534" s="87" t="s">
        <v>75</v>
      </c>
      <c r="AY534" s="87"/>
      <c r="AZ534" s="87"/>
      <c r="BA534" s="91" t="s">
        <v>2489</v>
      </c>
      <c r="BB534" s="84"/>
      <c r="BC534" s="85"/>
      <c r="BD534" s="85"/>
    </row>
    <row r="535" spans="1:56" s="86" customFormat="1" ht="46.5" customHeight="1">
      <c r="A535" s="87">
        <v>530</v>
      </c>
      <c r="B535" s="79" t="s">
        <v>2490</v>
      </c>
      <c r="C535" s="88">
        <v>45448</v>
      </c>
      <c r="D535" s="89">
        <v>0.58333333333333337</v>
      </c>
      <c r="E535" s="87" t="s">
        <v>58</v>
      </c>
      <c r="F535" s="87" t="s">
        <v>2121</v>
      </c>
      <c r="G535" s="87" t="s">
        <v>62</v>
      </c>
      <c r="H535" s="90" t="s">
        <v>2491</v>
      </c>
      <c r="I535" s="90" t="s">
        <v>64</v>
      </c>
      <c r="J535" s="87" t="s">
        <v>70</v>
      </c>
      <c r="K535" s="87" t="s">
        <v>97</v>
      </c>
      <c r="L535" s="90" t="s">
        <v>2492</v>
      </c>
      <c r="M535" s="91">
        <v>3142045593</v>
      </c>
      <c r="N535" s="90" t="s">
        <v>2493</v>
      </c>
      <c r="O535" s="90" t="str">
        <f t="shared" si="51"/>
        <v>Distrital</v>
      </c>
      <c r="P535" s="87" t="s">
        <v>73</v>
      </c>
      <c r="Q535" s="87"/>
      <c r="R535" s="87"/>
      <c r="S535" s="87"/>
      <c r="T535" s="87"/>
      <c r="U535" s="87"/>
      <c r="V535" s="90" t="str">
        <f t="shared" si="52"/>
        <v>Distrital</v>
      </c>
      <c r="W535" s="87" t="s">
        <v>73</v>
      </c>
      <c r="X535" s="87"/>
      <c r="Y535" s="87"/>
      <c r="Z535" s="87"/>
      <c r="AA535" s="87"/>
      <c r="AB535" s="87"/>
      <c r="AC535" s="90" t="str">
        <f t="shared" si="53"/>
        <v>Distrital</v>
      </c>
      <c r="AD535" s="87" t="s">
        <v>73</v>
      </c>
      <c r="AE535" s="87"/>
      <c r="AF535" s="87"/>
      <c r="AG535" s="87"/>
      <c r="AH535" s="87"/>
      <c r="AI535" s="87"/>
      <c r="AJ535" s="87"/>
      <c r="AK535" s="87"/>
      <c r="AL535" s="87"/>
      <c r="AM535" s="87"/>
      <c r="AN535" s="90" t="s">
        <v>605</v>
      </c>
      <c r="AO535" s="90" t="s">
        <v>2494</v>
      </c>
      <c r="AP535" s="82"/>
      <c r="AQ535" s="87" t="s">
        <v>59</v>
      </c>
      <c r="AR535" s="87" t="s">
        <v>80</v>
      </c>
      <c r="AS535" s="82"/>
      <c r="AT535" s="87">
        <v>10</v>
      </c>
      <c r="AU535" s="87">
        <v>1</v>
      </c>
      <c r="AV535" s="87">
        <f t="shared" si="46"/>
        <v>11</v>
      </c>
      <c r="AW535" s="87" t="str">
        <f t="shared" si="50"/>
        <v>Ninguna</v>
      </c>
      <c r="AX535" s="87" t="s">
        <v>75</v>
      </c>
      <c r="AY535" s="87"/>
      <c r="AZ535" s="87"/>
      <c r="BA535" s="91" t="s">
        <v>2495</v>
      </c>
      <c r="BB535" s="84"/>
      <c r="BC535" s="85"/>
      <c r="BD535" s="85"/>
    </row>
    <row r="536" spans="1:56" s="86" customFormat="1" ht="46.5" customHeight="1">
      <c r="A536" s="78">
        <v>531</v>
      </c>
      <c r="B536" s="79" t="s">
        <v>1808</v>
      </c>
      <c r="C536" s="88">
        <v>45449</v>
      </c>
      <c r="D536" s="89">
        <v>0.33333333333333331</v>
      </c>
      <c r="E536" s="87" t="s">
        <v>93</v>
      </c>
      <c r="F536" s="87" t="s">
        <v>321</v>
      </c>
      <c r="G536" s="87" t="s">
        <v>62</v>
      </c>
      <c r="H536" s="90" t="s">
        <v>2496</v>
      </c>
      <c r="I536" s="90" t="s">
        <v>64</v>
      </c>
      <c r="J536" s="87" t="s">
        <v>70</v>
      </c>
      <c r="K536" s="87" t="s">
        <v>1810</v>
      </c>
      <c r="L536" s="90" t="s">
        <v>72</v>
      </c>
      <c r="M536" s="90" t="s">
        <v>72</v>
      </c>
      <c r="N536" s="90" t="s">
        <v>72</v>
      </c>
      <c r="O536" s="90" t="str">
        <f t="shared" si="51"/>
        <v>La Candelaria</v>
      </c>
      <c r="P536" s="87" t="s">
        <v>487</v>
      </c>
      <c r="Q536" s="87"/>
      <c r="R536" s="87"/>
      <c r="S536" s="87"/>
      <c r="T536" s="87"/>
      <c r="U536" s="87"/>
      <c r="V536" s="90" t="str">
        <f t="shared" si="52"/>
        <v>Centro Ampliado</v>
      </c>
      <c r="W536" s="87" t="s">
        <v>415</v>
      </c>
      <c r="X536" s="87"/>
      <c r="Y536" s="87"/>
      <c r="Z536" s="87"/>
      <c r="AA536" s="87"/>
      <c r="AB536" s="87"/>
      <c r="AC536" s="90" t="str">
        <f t="shared" si="53"/>
        <v>Centro Histórico</v>
      </c>
      <c r="AD536" s="87" t="s">
        <v>488</v>
      </c>
      <c r="AE536" s="87"/>
      <c r="AF536" s="87"/>
      <c r="AG536" s="87"/>
      <c r="AH536" s="87"/>
      <c r="AI536" s="87"/>
      <c r="AJ536" s="87"/>
      <c r="AK536" s="87"/>
      <c r="AL536" s="87"/>
      <c r="AM536" s="87"/>
      <c r="AN536" s="90" t="s">
        <v>487</v>
      </c>
      <c r="AO536" s="90" t="s">
        <v>2497</v>
      </c>
      <c r="AP536" s="82"/>
      <c r="AQ536" s="87" t="s">
        <v>59</v>
      </c>
      <c r="AR536" s="87" t="s">
        <v>80</v>
      </c>
      <c r="AS536" s="82"/>
      <c r="AT536" s="87">
        <v>18</v>
      </c>
      <c r="AU536" s="87">
        <v>1</v>
      </c>
      <c r="AV536" s="87">
        <f t="shared" si="46"/>
        <v>19</v>
      </c>
      <c r="AW536" s="87" t="str">
        <f t="shared" si="50"/>
        <v>Ninguna</v>
      </c>
      <c r="AX536" s="87" t="s">
        <v>75</v>
      </c>
      <c r="AY536" s="87"/>
      <c r="AZ536" s="87"/>
      <c r="BA536" s="91" t="s">
        <v>2498</v>
      </c>
      <c r="BB536" s="84"/>
      <c r="BC536" s="85"/>
      <c r="BD536" s="85"/>
    </row>
    <row r="537" spans="1:56" s="86" customFormat="1" ht="53.25" customHeight="1">
      <c r="A537" s="87">
        <v>532</v>
      </c>
      <c r="B537" s="79" t="s">
        <v>2499</v>
      </c>
      <c r="C537" s="88">
        <v>45449</v>
      </c>
      <c r="D537" s="89">
        <v>0.33333333333333331</v>
      </c>
      <c r="E537" s="87" t="s">
        <v>58</v>
      </c>
      <c r="F537" s="87" t="s">
        <v>1142</v>
      </c>
      <c r="G537" s="87" t="s">
        <v>62</v>
      </c>
      <c r="H537" s="90" t="s">
        <v>2500</v>
      </c>
      <c r="I537" s="90" t="s">
        <v>64</v>
      </c>
      <c r="J537" s="87" t="s">
        <v>119</v>
      </c>
      <c r="K537" s="87" t="s">
        <v>209</v>
      </c>
      <c r="L537" s="90" t="s">
        <v>1144</v>
      </c>
      <c r="M537" s="91">
        <v>3148396805</v>
      </c>
      <c r="N537" s="90" t="s">
        <v>1145</v>
      </c>
      <c r="O537" s="90" t="str">
        <f t="shared" si="51"/>
        <v>Distrital</v>
      </c>
      <c r="P537" s="87" t="s">
        <v>73</v>
      </c>
      <c r="Q537" s="87"/>
      <c r="R537" s="87"/>
      <c r="S537" s="87"/>
      <c r="T537" s="87"/>
      <c r="U537" s="87"/>
      <c r="V537" s="90" t="str">
        <f t="shared" si="52"/>
        <v>Distrital</v>
      </c>
      <c r="W537" s="87" t="s">
        <v>73</v>
      </c>
      <c r="X537" s="87"/>
      <c r="Y537" s="87"/>
      <c r="Z537" s="87"/>
      <c r="AA537" s="87"/>
      <c r="AB537" s="87"/>
      <c r="AC537" s="90" t="str">
        <f t="shared" si="53"/>
        <v>Distrital</v>
      </c>
      <c r="AD537" s="87" t="s">
        <v>73</v>
      </c>
      <c r="AE537" s="87"/>
      <c r="AF537" s="87"/>
      <c r="AG537" s="87"/>
      <c r="AH537" s="87"/>
      <c r="AI537" s="87"/>
      <c r="AJ537" s="87"/>
      <c r="AK537" s="87"/>
      <c r="AL537" s="87"/>
      <c r="AM537" s="87"/>
      <c r="AN537" s="90" t="s">
        <v>1746</v>
      </c>
      <c r="AO537" s="90" t="s">
        <v>2501</v>
      </c>
      <c r="AP537" s="82"/>
      <c r="AQ537" s="87" t="s">
        <v>59</v>
      </c>
      <c r="AR537" s="87" t="s">
        <v>80</v>
      </c>
      <c r="AS537" s="82"/>
      <c r="AT537" s="87">
        <v>6</v>
      </c>
      <c r="AU537" s="87">
        <v>3</v>
      </c>
      <c r="AV537" s="87">
        <f t="shared" si="46"/>
        <v>9</v>
      </c>
      <c r="AW537" s="87" t="str">
        <f t="shared" si="50"/>
        <v>Ninguna</v>
      </c>
      <c r="AX537" s="87" t="s">
        <v>75</v>
      </c>
      <c r="AY537" s="87"/>
      <c r="AZ537" s="87"/>
      <c r="BA537" s="91" t="s">
        <v>2502</v>
      </c>
      <c r="BB537" s="84"/>
      <c r="BC537" s="85"/>
      <c r="BD537" s="85"/>
    </row>
    <row r="538" spans="1:56" s="86" customFormat="1" ht="46.5" customHeight="1">
      <c r="A538" s="78">
        <v>533</v>
      </c>
      <c r="B538" s="79" t="s">
        <v>523</v>
      </c>
      <c r="C538" s="88">
        <v>45449</v>
      </c>
      <c r="D538" s="89">
        <v>0.375</v>
      </c>
      <c r="E538" s="87" t="s">
        <v>93</v>
      </c>
      <c r="F538" s="87" t="s">
        <v>321</v>
      </c>
      <c r="G538" s="87" t="s">
        <v>62</v>
      </c>
      <c r="H538" s="90" t="s">
        <v>1907</v>
      </c>
      <c r="I538" s="90" t="s">
        <v>64</v>
      </c>
      <c r="J538" s="87" t="s">
        <v>70</v>
      </c>
      <c r="K538" s="87" t="s">
        <v>1810</v>
      </c>
      <c r="L538" s="90" t="s">
        <v>1908</v>
      </c>
      <c r="M538" s="91">
        <v>3004241263</v>
      </c>
      <c r="N538" s="90" t="s">
        <v>526</v>
      </c>
      <c r="O538" s="90" t="str">
        <f t="shared" si="51"/>
        <v>Usaquén</v>
      </c>
      <c r="P538" s="87" t="s">
        <v>428</v>
      </c>
      <c r="Q538" s="87"/>
      <c r="R538" s="87"/>
      <c r="S538" s="87"/>
      <c r="T538" s="87"/>
      <c r="U538" s="87"/>
      <c r="V538" s="90" t="str">
        <f t="shared" si="52"/>
        <v>Norte, Ruralidad</v>
      </c>
      <c r="W538" s="87" t="s">
        <v>429</v>
      </c>
      <c r="X538" s="87" t="s">
        <v>109</v>
      </c>
      <c r="Y538" s="87"/>
      <c r="Z538" s="87"/>
      <c r="AA538" s="87"/>
      <c r="AB538" s="87"/>
      <c r="AC538" s="90" t="str">
        <f t="shared" si="53"/>
        <v>Usaquén, Toberín, Torca, Cerros Orientales</v>
      </c>
      <c r="AD538" s="87" t="s">
        <v>428</v>
      </c>
      <c r="AE538" s="87" t="s">
        <v>527</v>
      </c>
      <c r="AF538" s="87" t="s">
        <v>528</v>
      </c>
      <c r="AG538" s="87" t="s">
        <v>222</v>
      </c>
      <c r="AH538" s="87"/>
      <c r="AI538" s="87"/>
      <c r="AJ538" s="87"/>
      <c r="AK538" s="87"/>
      <c r="AL538" s="87"/>
      <c r="AM538" s="87"/>
      <c r="AN538" s="90" t="s">
        <v>370</v>
      </c>
      <c r="AO538" s="90" t="s">
        <v>2503</v>
      </c>
      <c r="AP538" s="82"/>
      <c r="AQ538" s="87" t="s">
        <v>59</v>
      </c>
      <c r="AR538" s="87" t="s">
        <v>80</v>
      </c>
      <c r="AS538" s="82"/>
      <c r="AT538" s="87">
        <v>17</v>
      </c>
      <c r="AU538" s="87">
        <v>2</v>
      </c>
      <c r="AV538" s="87">
        <f t="shared" si="46"/>
        <v>19</v>
      </c>
      <c r="AW538" s="87" t="str">
        <f t="shared" si="50"/>
        <v>Accesibilidad Universal, Horarios Acordes, Contenidos adaptados</v>
      </c>
      <c r="AX538" s="87" t="s">
        <v>246</v>
      </c>
      <c r="AY538" s="87" t="s">
        <v>213</v>
      </c>
      <c r="AZ538" s="87" t="s">
        <v>212</v>
      </c>
      <c r="BA538" s="91" t="s">
        <v>2504</v>
      </c>
      <c r="BB538" s="84"/>
      <c r="BC538" s="85"/>
      <c r="BD538" s="85"/>
    </row>
    <row r="539" spans="1:56" s="86" customFormat="1" ht="46.5" customHeight="1">
      <c r="A539" s="87">
        <v>534</v>
      </c>
      <c r="B539" s="79" t="s">
        <v>2505</v>
      </c>
      <c r="C539" s="88">
        <v>45449</v>
      </c>
      <c r="D539" s="89">
        <v>0.4375</v>
      </c>
      <c r="E539" s="87" t="s">
        <v>58</v>
      </c>
      <c r="F539" s="87" t="s">
        <v>1750</v>
      </c>
      <c r="G539" s="87" t="s">
        <v>62</v>
      </c>
      <c r="H539" s="90" t="s">
        <v>2506</v>
      </c>
      <c r="I539" s="90" t="s">
        <v>64</v>
      </c>
      <c r="J539" s="87" t="s">
        <v>70</v>
      </c>
      <c r="K539" s="87" t="s">
        <v>71</v>
      </c>
      <c r="L539" s="90" t="s">
        <v>72</v>
      </c>
      <c r="M539" s="90" t="s">
        <v>72</v>
      </c>
      <c r="N539" s="90" t="s">
        <v>72</v>
      </c>
      <c r="O539" s="90" t="str">
        <f t="shared" si="51"/>
        <v>Distrital</v>
      </c>
      <c r="P539" s="87" t="s">
        <v>73</v>
      </c>
      <c r="Q539" s="87"/>
      <c r="R539" s="87"/>
      <c r="S539" s="87"/>
      <c r="T539" s="87"/>
      <c r="U539" s="87"/>
      <c r="V539" s="90" t="str">
        <f t="shared" si="52"/>
        <v>Distrital</v>
      </c>
      <c r="W539" s="87" t="s">
        <v>73</v>
      </c>
      <c r="X539" s="87"/>
      <c r="Y539" s="87"/>
      <c r="Z539" s="87"/>
      <c r="AA539" s="87"/>
      <c r="AB539" s="87"/>
      <c r="AC539" s="90" t="str">
        <f t="shared" si="53"/>
        <v>Distrital</v>
      </c>
      <c r="AD539" s="87" t="s">
        <v>73</v>
      </c>
      <c r="AE539" s="87"/>
      <c r="AF539" s="87"/>
      <c r="AG539" s="87"/>
      <c r="AH539" s="87"/>
      <c r="AI539" s="87"/>
      <c r="AJ539" s="87"/>
      <c r="AK539" s="87"/>
      <c r="AL539" s="87"/>
      <c r="AM539" s="87"/>
      <c r="AN539" s="90" t="s">
        <v>160</v>
      </c>
      <c r="AO539" s="90" t="s">
        <v>2507</v>
      </c>
      <c r="AP539" s="82"/>
      <c r="AQ539" s="87" t="s">
        <v>59</v>
      </c>
      <c r="AR539" s="87" t="s">
        <v>80</v>
      </c>
      <c r="AS539" s="82"/>
      <c r="AT539" s="87">
        <v>8</v>
      </c>
      <c r="AU539" s="87">
        <v>8</v>
      </c>
      <c r="AV539" s="87">
        <f t="shared" si="46"/>
        <v>16</v>
      </c>
      <c r="AW539" s="87" t="str">
        <f t="shared" ref="AW539:AW1144" si="54">_xlfn.TEXTJOIN(", ",TRUE,$AX539:$AZ539)</f>
        <v>Ninguna</v>
      </c>
      <c r="AX539" s="87" t="s">
        <v>75</v>
      </c>
      <c r="AY539" s="87"/>
      <c r="AZ539" s="87"/>
      <c r="BA539" s="91" t="s">
        <v>2508</v>
      </c>
      <c r="BB539" s="84"/>
      <c r="BC539" s="85"/>
      <c r="BD539" s="85"/>
    </row>
    <row r="540" spans="1:56" s="86" customFormat="1" ht="46.5" customHeight="1">
      <c r="A540" s="78">
        <v>535</v>
      </c>
      <c r="B540" s="79" t="s">
        <v>517</v>
      </c>
      <c r="C540" s="88">
        <v>45449</v>
      </c>
      <c r="D540" s="89">
        <v>0.60416666666666663</v>
      </c>
      <c r="E540" s="87" t="s">
        <v>93</v>
      </c>
      <c r="F540" s="87" t="s">
        <v>321</v>
      </c>
      <c r="G540" s="87" t="s">
        <v>62</v>
      </c>
      <c r="H540" s="90" t="s">
        <v>2509</v>
      </c>
      <c r="I540" s="90" t="s">
        <v>64</v>
      </c>
      <c r="J540" s="87" t="s">
        <v>70</v>
      </c>
      <c r="K540" s="87" t="s">
        <v>1810</v>
      </c>
      <c r="L540" s="90" t="s">
        <v>2510</v>
      </c>
      <c r="M540" s="91">
        <v>3223280217</v>
      </c>
      <c r="N540" s="90" t="s">
        <v>2511</v>
      </c>
      <c r="O540" s="90" t="str">
        <f t="shared" si="51"/>
        <v>San Cristóbal</v>
      </c>
      <c r="P540" s="87" t="s">
        <v>370</v>
      </c>
      <c r="Q540" s="87"/>
      <c r="R540" s="87"/>
      <c r="S540" s="87"/>
      <c r="T540" s="87"/>
      <c r="U540" s="87"/>
      <c r="V540" s="90" t="str">
        <f t="shared" si="52"/>
        <v>Suroriente</v>
      </c>
      <c r="W540" s="87" t="s">
        <v>108</v>
      </c>
      <c r="X540" s="87"/>
      <c r="Y540" s="87"/>
      <c r="Z540" s="87"/>
      <c r="AA540" s="87"/>
      <c r="AB540" s="87"/>
      <c r="AC540" s="90" t="str">
        <f t="shared" si="53"/>
        <v>San Cristobal</v>
      </c>
      <c r="AD540" s="87" t="s">
        <v>371</v>
      </c>
      <c r="AE540" s="87"/>
      <c r="AF540" s="87"/>
      <c r="AG540" s="87"/>
      <c r="AH540" s="87"/>
      <c r="AI540" s="87"/>
      <c r="AJ540" s="87"/>
      <c r="AK540" s="87"/>
      <c r="AL540" s="87"/>
      <c r="AM540" s="87"/>
      <c r="AN540" s="90" t="s">
        <v>370</v>
      </c>
      <c r="AO540" s="90" t="s">
        <v>2512</v>
      </c>
      <c r="AP540" s="82"/>
      <c r="AQ540" s="87" t="s">
        <v>59</v>
      </c>
      <c r="AR540" s="87" t="s">
        <v>80</v>
      </c>
      <c r="AS540" s="82"/>
      <c r="AT540" s="87">
        <v>23</v>
      </c>
      <c r="AU540" s="87">
        <v>1</v>
      </c>
      <c r="AV540" s="87">
        <f t="shared" si="46"/>
        <v>24</v>
      </c>
      <c r="AW540" s="87" t="str">
        <f t="shared" si="54"/>
        <v>Ninguna</v>
      </c>
      <c r="AX540" s="87" t="s">
        <v>75</v>
      </c>
      <c r="AY540" s="87"/>
      <c r="AZ540" s="87"/>
      <c r="BA540" s="91" t="s">
        <v>2513</v>
      </c>
      <c r="BB540" s="84"/>
      <c r="BC540" s="85"/>
      <c r="BD540" s="85"/>
    </row>
    <row r="541" spans="1:56" s="86" customFormat="1" ht="46.5" customHeight="1">
      <c r="A541" s="87">
        <v>536</v>
      </c>
      <c r="B541" s="79" t="s">
        <v>1860</v>
      </c>
      <c r="C541" s="88">
        <v>45449</v>
      </c>
      <c r="D541" s="89">
        <v>0.70833333333333337</v>
      </c>
      <c r="E541" s="87" t="s">
        <v>93</v>
      </c>
      <c r="F541" s="87" t="s">
        <v>102</v>
      </c>
      <c r="G541" s="87" t="s">
        <v>95</v>
      </c>
      <c r="H541" s="90" t="s">
        <v>2514</v>
      </c>
      <c r="I541" s="90" t="s">
        <v>118</v>
      </c>
      <c r="J541" s="87" t="s">
        <v>119</v>
      </c>
      <c r="K541" s="87" t="s">
        <v>129</v>
      </c>
      <c r="L541" s="90" t="s">
        <v>407</v>
      </c>
      <c r="M541" s="91">
        <v>3188799909</v>
      </c>
      <c r="N541" s="90" t="s">
        <v>439</v>
      </c>
      <c r="O541" s="90" t="str">
        <f t="shared" si="51"/>
        <v>Distrital</v>
      </c>
      <c r="P541" s="87" t="s">
        <v>73</v>
      </c>
      <c r="Q541" s="87"/>
      <c r="R541" s="87"/>
      <c r="S541" s="87"/>
      <c r="T541" s="87"/>
      <c r="U541" s="87"/>
      <c r="V541" s="90" t="str">
        <f t="shared" si="52"/>
        <v>Distrital</v>
      </c>
      <c r="W541" s="87" t="s">
        <v>73</v>
      </c>
      <c r="X541" s="87"/>
      <c r="Y541" s="87"/>
      <c r="Z541" s="87"/>
      <c r="AA541" s="87"/>
      <c r="AB541" s="87"/>
      <c r="AC541" s="90" t="str">
        <f t="shared" si="53"/>
        <v>Distrital</v>
      </c>
      <c r="AD541" s="87" t="s">
        <v>73</v>
      </c>
      <c r="AE541" s="87"/>
      <c r="AF541" s="87"/>
      <c r="AG541" s="87"/>
      <c r="AH541" s="87"/>
      <c r="AI541" s="87"/>
      <c r="AJ541" s="87"/>
      <c r="AK541" s="87"/>
      <c r="AL541" s="87"/>
      <c r="AM541" s="87"/>
      <c r="AN541" s="90" t="s">
        <v>160</v>
      </c>
      <c r="AO541" s="92" t="s">
        <v>2515</v>
      </c>
      <c r="AP541" s="82"/>
      <c r="AQ541" s="87" t="s">
        <v>59</v>
      </c>
      <c r="AR541" s="87" t="s">
        <v>80</v>
      </c>
      <c r="AS541" s="82"/>
      <c r="AT541" s="87">
        <v>67</v>
      </c>
      <c r="AU541" s="87">
        <v>2</v>
      </c>
      <c r="AV541" s="87">
        <f t="shared" si="46"/>
        <v>69</v>
      </c>
      <c r="AW541" s="87" t="str">
        <f t="shared" si="54"/>
        <v>Ninguna</v>
      </c>
      <c r="AX541" s="87" t="s">
        <v>75</v>
      </c>
      <c r="AY541" s="87"/>
      <c r="AZ541" s="87"/>
      <c r="BA541" s="91" t="s">
        <v>2516</v>
      </c>
      <c r="BB541" s="84"/>
      <c r="BC541" s="85"/>
      <c r="BD541" s="85"/>
    </row>
    <row r="542" spans="1:56" s="86" customFormat="1" ht="46.5" customHeight="1">
      <c r="A542" s="78">
        <v>537</v>
      </c>
      <c r="B542" s="79" t="s">
        <v>2517</v>
      </c>
      <c r="C542" s="88">
        <v>45450</v>
      </c>
      <c r="D542" s="89">
        <v>0.375</v>
      </c>
      <c r="E542" s="87" t="s">
        <v>58</v>
      </c>
      <c r="F542" s="87" t="s">
        <v>2227</v>
      </c>
      <c r="G542" s="87" t="s">
        <v>62</v>
      </c>
      <c r="H542" s="90" t="s">
        <v>2518</v>
      </c>
      <c r="I542" s="90" t="s">
        <v>188</v>
      </c>
      <c r="J542" s="87" t="s">
        <v>173</v>
      </c>
      <c r="K542" s="87"/>
      <c r="L542" s="90" t="s">
        <v>2519</v>
      </c>
      <c r="M542" s="91">
        <v>3228657280</v>
      </c>
      <c r="N542" s="90" t="s">
        <v>2257</v>
      </c>
      <c r="O542" s="90" t="str">
        <f t="shared" si="51"/>
        <v>Barrios Unidos</v>
      </c>
      <c r="P542" s="87" t="s">
        <v>686</v>
      </c>
      <c r="Q542" s="87"/>
      <c r="R542" s="87"/>
      <c r="S542" s="87"/>
      <c r="T542" s="87"/>
      <c r="U542" s="87"/>
      <c r="V542" s="90" t="str">
        <f t="shared" si="52"/>
        <v>Centro Ampliado</v>
      </c>
      <c r="W542" s="87" t="s">
        <v>415</v>
      </c>
      <c r="X542" s="87"/>
      <c r="Y542" s="87"/>
      <c r="Z542" s="87"/>
      <c r="AA542" s="87"/>
      <c r="AB542" s="87"/>
      <c r="AC542" s="90" t="str">
        <f t="shared" si="53"/>
        <v>Barrios Unidos, Teusaquillo</v>
      </c>
      <c r="AD542" s="87" t="s">
        <v>686</v>
      </c>
      <c r="AE542" s="87" t="s">
        <v>665</v>
      </c>
      <c r="AF542" s="87"/>
      <c r="AG542" s="87"/>
      <c r="AH542" s="87"/>
      <c r="AI542" s="87"/>
      <c r="AJ542" s="87"/>
      <c r="AK542" s="87"/>
      <c r="AL542" s="87"/>
      <c r="AM542" s="87"/>
      <c r="AN542" s="90" t="s">
        <v>2520</v>
      </c>
      <c r="AO542" s="90" t="s">
        <v>2521</v>
      </c>
      <c r="AP542" s="82"/>
      <c r="AQ542" s="87" t="s">
        <v>59</v>
      </c>
      <c r="AR542" s="87" t="s">
        <v>80</v>
      </c>
      <c r="AS542" s="82"/>
      <c r="AT542" s="87">
        <v>9</v>
      </c>
      <c r="AU542" s="87">
        <v>10</v>
      </c>
      <c r="AV542" s="87">
        <f>AT542+AU542</f>
        <v>19</v>
      </c>
      <c r="AW542" s="87" t="str">
        <f t="shared" si="54"/>
        <v>Ninguna</v>
      </c>
      <c r="AX542" s="87" t="s">
        <v>75</v>
      </c>
      <c r="AY542" s="87"/>
      <c r="AZ542" s="87"/>
      <c r="BA542" s="91" t="s">
        <v>2522</v>
      </c>
      <c r="BB542" s="84"/>
      <c r="BC542" s="85"/>
      <c r="BD542" s="85"/>
    </row>
    <row r="543" spans="1:56" s="86" customFormat="1" ht="46.5" customHeight="1">
      <c r="A543" s="87">
        <v>538</v>
      </c>
      <c r="B543" s="79" t="s">
        <v>1714</v>
      </c>
      <c r="C543" s="88">
        <v>45450</v>
      </c>
      <c r="D543" s="89">
        <v>0.41666666666666669</v>
      </c>
      <c r="E543" s="87" t="s">
        <v>58</v>
      </c>
      <c r="F543" s="87" t="s">
        <v>1437</v>
      </c>
      <c r="G543" s="87" t="s">
        <v>95</v>
      </c>
      <c r="H543" s="90" t="s">
        <v>2523</v>
      </c>
      <c r="I543" s="90" t="s">
        <v>64</v>
      </c>
      <c r="J543" s="87" t="s">
        <v>173</v>
      </c>
      <c r="K543" s="87"/>
      <c r="L543" s="90" t="s">
        <v>72</v>
      </c>
      <c r="M543" s="90" t="s">
        <v>72</v>
      </c>
      <c r="N543" s="90" t="s">
        <v>72</v>
      </c>
      <c r="O543" s="90" t="str">
        <f t="shared" si="51"/>
        <v>Distrital</v>
      </c>
      <c r="P543" s="87" t="s">
        <v>73</v>
      </c>
      <c r="Q543" s="87"/>
      <c r="R543" s="87"/>
      <c r="S543" s="87"/>
      <c r="T543" s="87"/>
      <c r="U543" s="87"/>
      <c r="V543" s="90" t="str">
        <f t="shared" si="52"/>
        <v>Distrital</v>
      </c>
      <c r="W543" s="87" t="s">
        <v>73</v>
      </c>
      <c r="X543" s="87"/>
      <c r="Y543" s="87"/>
      <c r="Z543" s="87"/>
      <c r="AA543" s="87"/>
      <c r="AB543" s="87"/>
      <c r="AC543" s="90" t="str">
        <f t="shared" si="53"/>
        <v>Distrital</v>
      </c>
      <c r="AD543" s="87" t="s">
        <v>73</v>
      </c>
      <c r="AE543" s="87"/>
      <c r="AF543" s="87"/>
      <c r="AG543" s="87"/>
      <c r="AH543" s="87"/>
      <c r="AI543" s="87"/>
      <c r="AJ543" s="87"/>
      <c r="AK543" s="87"/>
      <c r="AL543" s="87"/>
      <c r="AM543" s="87"/>
      <c r="AN543" s="90" t="s">
        <v>160</v>
      </c>
      <c r="AO543" s="101" t="s">
        <v>2524</v>
      </c>
      <c r="AP543" s="82"/>
      <c r="AQ543" s="87" t="s">
        <v>59</v>
      </c>
      <c r="AR543" s="87" t="s">
        <v>80</v>
      </c>
      <c r="AS543" s="82"/>
      <c r="AT543" s="87">
        <v>3</v>
      </c>
      <c r="AU543" s="87">
        <v>2</v>
      </c>
      <c r="AV543" s="87">
        <f>AT543+AU543</f>
        <v>5</v>
      </c>
      <c r="AW543" s="87" t="str">
        <f t="shared" si="54"/>
        <v>Ninguna</v>
      </c>
      <c r="AX543" s="87" t="s">
        <v>75</v>
      </c>
      <c r="AY543" s="87"/>
      <c r="AZ543" s="87"/>
      <c r="BA543" s="91" t="s">
        <v>2525</v>
      </c>
      <c r="BB543" s="84"/>
      <c r="BC543" s="85"/>
      <c r="BD543" s="85"/>
    </row>
    <row r="544" spans="1:56" s="86" customFormat="1" ht="46.5" customHeight="1">
      <c r="A544" s="78">
        <v>539</v>
      </c>
      <c r="B544" s="79" t="s">
        <v>2526</v>
      </c>
      <c r="C544" s="88">
        <v>45450</v>
      </c>
      <c r="D544" s="89">
        <v>0.58333333333333337</v>
      </c>
      <c r="E544" s="87" t="s">
        <v>58</v>
      </c>
      <c r="F544" s="87" t="s">
        <v>2121</v>
      </c>
      <c r="G544" s="87" t="s">
        <v>62</v>
      </c>
      <c r="H544" s="90" t="s">
        <v>2527</v>
      </c>
      <c r="I544" s="90" t="s">
        <v>64</v>
      </c>
      <c r="J544" s="87" t="s">
        <v>70</v>
      </c>
      <c r="K544" s="87"/>
      <c r="L544" s="90" t="s">
        <v>72</v>
      </c>
      <c r="M544" s="90" t="s">
        <v>72</v>
      </c>
      <c r="N544" s="90" t="s">
        <v>72</v>
      </c>
      <c r="O544" s="90" t="str">
        <f t="shared" si="51"/>
        <v>Distrital</v>
      </c>
      <c r="P544" s="87" t="s">
        <v>73</v>
      </c>
      <c r="Q544" s="87"/>
      <c r="R544" s="87"/>
      <c r="S544" s="87"/>
      <c r="T544" s="87"/>
      <c r="U544" s="87"/>
      <c r="V544" s="90" t="str">
        <f t="shared" si="52"/>
        <v>Distrital</v>
      </c>
      <c r="W544" s="87" t="s">
        <v>73</v>
      </c>
      <c r="X544" s="87"/>
      <c r="Y544" s="87"/>
      <c r="Z544" s="87"/>
      <c r="AA544" s="87"/>
      <c r="AB544" s="87"/>
      <c r="AC544" s="90" t="str">
        <f t="shared" si="53"/>
        <v>Distrital</v>
      </c>
      <c r="AD544" s="87" t="s">
        <v>73</v>
      </c>
      <c r="AE544" s="87"/>
      <c r="AF544" s="87"/>
      <c r="AG544" s="87"/>
      <c r="AH544" s="87"/>
      <c r="AI544" s="87"/>
      <c r="AJ544" s="87"/>
      <c r="AK544" s="87"/>
      <c r="AL544" s="87"/>
      <c r="AM544" s="87"/>
      <c r="AN544" s="90" t="s">
        <v>160</v>
      </c>
      <c r="AO544" s="90" t="s">
        <v>2528</v>
      </c>
      <c r="AP544" s="82"/>
      <c r="AQ544" s="87" t="s">
        <v>59</v>
      </c>
      <c r="AR544" s="87" t="s">
        <v>80</v>
      </c>
      <c r="AS544" s="82"/>
      <c r="AT544" s="87">
        <v>20</v>
      </c>
      <c r="AU544" s="87">
        <v>6</v>
      </c>
      <c r="AV544" s="87">
        <f>AT544+AU544</f>
        <v>26</v>
      </c>
      <c r="AW544" s="87" t="str">
        <f t="shared" si="54"/>
        <v>Ninguna</v>
      </c>
      <c r="AX544" s="87" t="s">
        <v>75</v>
      </c>
      <c r="AY544" s="87"/>
      <c r="AZ544" s="87"/>
      <c r="BA544" s="91" t="s">
        <v>2529</v>
      </c>
      <c r="BB544" s="84"/>
      <c r="BC544" s="85"/>
      <c r="BD544" s="85"/>
    </row>
    <row r="545" spans="1:56" s="86" customFormat="1" ht="46.5" customHeight="1">
      <c r="A545" s="87">
        <v>540</v>
      </c>
      <c r="B545" s="79" t="s">
        <v>2530</v>
      </c>
      <c r="C545" s="88">
        <v>45450</v>
      </c>
      <c r="D545" s="89">
        <v>0.625</v>
      </c>
      <c r="E545" s="87" t="s">
        <v>58</v>
      </c>
      <c r="F545" s="87" t="s">
        <v>2227</v>
      </c>
      <c r="G545" s="87" t="s">
        <v>62</v>
      </c>
      <c r="H545" s="90" t="s">
        <v>2531</v>
      </c>
      <c r="I545" s="90" t="s">
        <v>172</v>
      </c>
      <c r="J545" s="87" t="s">
        <v>173</v>
      </c>
      <c r="K545" s="87"/>
      <c r="L545" s="90" t="s">
        <v>2532</v>
      </c>
      <c r="M545" s="91">
        <v>3225834373</v>
      </c>
      <c r="N545" s="90" t="s">
        <v>2533</v>
      </c>
      <c r="O545" s="90" t="str">
        <f t="shared" si="51"/>
        <v>Fontibón, Puente Aranda</v>
      </c>
      <c r="P545" s="87" t="s">
        <v>420</v>
      </c>
      <c r="Q545" s="87" t="s">
        <v>823</v>
      </c>
      <c r="R545" s="87"/>
      <c r="S545" s="87"/>
      <c r="T545" s="87"/>
      <c r="U545" s="87"/>
      <c r="V545" s="90" t="str">
        <f t="shared" si="52"/>
        <v>Occidente, Centro Ampliado</v>
      </c>
      <c r="W545" s="87" t="s">
        <v>124</v>
      </c>
      <c r="X545" s="87" t="s">
        <v>415</v>
      </c>
      <c r="Y545" s="87"/>
      <c r="Z545" s="87"/>
      <c r="AA545" s="87"/>
      <c r="AB545" s="87"/>
      <c r="AC545" s="90" t="str">
        <f t="shared" si="53"/>
        <v>Salitre, Puente Aranda</v>
      </c>
      <c r="AD545" s="87" t="s">
        <v>258</v>
      </c>
      <c r="AE545" s="87" t="s">
        <v>823</v>
      </c>
      <c r="AF545" s="87"/>
      <c r="AG545" s="87"/>
      <c r="AH545" s="87"/>
      <c r="AI545" s="87"/>
      <c r="AJ545" s="87"/>
      <c r="AK545" s="87"/>
      <c r="AL545" s="87"/>
      <c r="AM545" s="87"/>
      <c r="AN545" s="90" t="s">
        <v>2534</v>
      </c>
      <c r="AO545" s="90" t="s">
        <v>2535</v>
      </c>
      <c r="AP545" s="82"/>
      <c r="AQ545" s="87" t="s">
        <v>59</v>
      </c>
      <c r="AR545" s="87" t="s">
        <v>80</v>
      </c>
      <c r="AS545" s="82"/>
      <c r="AT545" s="87">
        <v>12</v>
      </c>
      <c r="AU545" s="87">
        <v>15</v>
      </c>
      <c r="AV545" s="87">
        <f>AT545+AU545</f>
        <v>27</v>
      </c>
      <c r="AW545" s="87" t="str">
        <f>_xlfn.TEXTJOIN(", ",TRUE,$AX545:$AZ545)</f>
        <v>Accesibilidad Universal</v>
      </c>
      <c r="AX545" s="87" t="s">
        <v>246</v>
      </c>
      <c r="AY545" s="87"/>
      <c r="AZ545" s="87"/>
      <c r="BA545" s="91" t="s">
        <v>2536</v>
      </c>
      <c r="BB545" s="84"/>
      <c r="BC545" s="85"/>
      <c r="BD545" s="85"/>
    </row>
    <row r="546" spans="1:56" s="86" customFormat="1" ht="46.5" customHeight="1">
      <c r="A546" s="78">
        <v>541</v>
      </c>
      <c r="B546" s="79" t="s">
        <v>2537</v>
      </c>
      <c r="C546" s="88">
        <v>45451</v>
      </c>
      <c r="D546" s="89">
        <v>0.375</v>
      </c>
      <c r="E546" s="87" t="s">
        <v>58</v>
      </c>
      <c r="F546" s="87" t="s">
        <v>2227</v>
      </c>
      <c r="G546" s="87" t="s">
        <v>62</v>
      </c>
      <c r="H546" s="90" t="s">
        <v>2538</v>
      </c>
      <c r="I546" s="90" t="s">
        <v>188</v>
      </c>
      <c r="J546" s="87" t="s">
        <v>173</v>
      </c>
      <c r="K546" s="87"/>
      <c r="L546" s="90" t="s">
        <v>2519</v>
      </c>
      <c r="M546" s="91">
        <v>3228657280</v>
      </c>
      <c r="N546" s="90" t="s">
        <v>2257</v>
      </c>
      <c r="O546" s="90" t="str">
        <f t="shared" si="51"/>
        <v>Teusaquillo</v>
      </c>
      <c r="P546" s="87" t="s">
        <v>665</v>
      </c>
      <c r="Q546" s="87"/>
      <c r="R546" s="87"/>
      <c r="S546" s="87"/>
      <c r="T546" s="87"/>
      <c r="U546" s="87"/>
      <c r="V546" s="90" t="str">
        <f t="shared" si="52"/>
        <v>Centro Ampliado</v>
      </c>
      <c r="W546" s="87" t="s">
        <v>415</v>
      </c>
      <c r="X546" s="87"/>
      <c r="Y546" s="87"/>
      <c r="Z546" s="87"/>
      <c r="AA546" s="87"/>
      <c r="AB546" s="87"/>
      <c r="AC546" s="90" t="str">
        <f t="shared" si="53"/>
        <v>Barrios Unidos, Teusaquillo</v>
      </c>
      <c r="AD546" s="87" t="s">
        <v>686</v>
      </c>
      <c r="AE546" s="87" t="s">
        <v>665</v>
      </c>
      <c r="AF546" s="87"/>
      <c r="AG546" s="87"/>
      <c r="AH546" s="87"/>
      <c r="AI546" s="87"/>
      <c r="AJ546" s="87"/>
      <c r="AK546" s="87"/>
      <c r="AL546" s="87"/>
      <c r="AM546" s="87"/>
      <c r="AN546" s="90" t="s">
        <v>1109</v>
      </c>
      <c r="AO546" s="90" t="s">
        <v>2539</v>
      </c>
      <c r="AP546" s="82"/>
      <c r="AQ546" s="87" t="s">
        <v>59</v>
      </c>
      <c r="AR546" s="87" t="s">
        <v>80</v>
      </c>
      <c r="AS546" s="82"/>
      <c r="AT546" s="87">
        <v>22</v>
      </c>
      <c r="AU546" s="87">
        <v>10</v>
      </c>
      <c r="AV546" s="87">
        <f t="shared" si="46"/>
        <v>32</v>
      </c>
      <c r="AW546" s="87" t="str">
        <f t="shared" si="54"/>
        <v>Ninguna</v>
      </c>
      <c r="AX546" s="87" t="s">
        <v>75</v>
      </c>
      <c r="AY546" s="87"/>
      <c r="AZ546" s="87"/>
      <c r="BA546" s="91" t="s">
        <v>2540</v>
      </c>
      <c r="BB546" s="84"/>
      <c r="BC546" s="85"/>
      <c r="BD546" s="85"/>
    </row>
    <row r="547" spans="1:56" s="86" customFormat="1" ht="46.5" customHeight="1">
      <c r="A547" s="87">
        <v>542</v>
      </c>
      <c r="B547" s="79" t="s">
        <v>631</v>
      </c>
      <c r="C547" s="88">
        <v>45454</v>
      </c>
      <c r="D547" s="89">
        <v>0.33333333333333331</v>
      </c>
      <c r="E547" s="87" t="s">
        <v>93</v>
      </c>
      <c r="F547" s="87" t="s">
        <v>321</v>
      </c>
      <c r="G547" s="87" t="s">
        <v>62</v>
      </c>
      <c r="H547" s="90" t="s">
        <v>2064</v>
      </c>
      <c r="I547" s="90" t="s">
        <v>64</v>
      </c>
      <c r="J547" s="87" t="s">
        <v>70</v>
      </c>
      <c r="K547" s="87" t="s">
        <v>1810</v>
      </c>
      <c r="L547" s="90" t="s">
        <v>2065</v>
      </c>
      <c r="M547" s="91">
        <v>3005698632</v>
      </c>
      <c r="N547" s="90" t="s">
        <v>634</v>
      </c>
      <c r="O547" s="90" t="str">
        <f t="shared" si="51"/>
        <v>Engativá</v>
      </c>
      <c r="P547" s="87" t="s">
        <v>123</v>
      </c>
      <c r="Q547" s="87"/>
      <c r="R547" s="87"/>
      <c r="S547" s="87"/>
      <c r="T547" s="87"/>
      <c r="U547" s="87"/>
      <c r="V547" s="90" t="str">
        <f t="shared" si="52"/>
        <v>Occidente</v>
      </c>
      <c r="W547" s="87" t="s">
        <v>124</v>
      </c>
      <c r="X547" s="87"/>
      <c r="Y547" s="87"/>
      <c r="Z547" s="87"/>
      <c r="AA547" s="87"/>
      <c r="AB547" s="87"/>
      <c r="AC547" s="90" t="str">
        <f t="shared" si="53"/>
        <v>Engativá, Tabora, Salitre</v>
      </c>
      <c r="AD547" s="87" t="s">
        <v>123</v>
      </c>
      <c r="AE547" s="87" t="s">
        <v>257</v>
      </c>
      <c r="AF547" s="87" t="s">
        <v>258</v>
      </c>
      <c r="AG547" s="87"/>
      <c r="AH547" s="87"/>
      <c r="AI547" s="87"/>
      <c r="AJ547" s="87"/>
      <c r="AK547" s="87"/>
      <c r="AL547" s="87"/>
      <c r="AM547" s="87"/>
      <c r="AN547" s="90" t="s">
        <v>2541</v>
      </c>
      <c r="AO547" s="90" t="s">
        <v>2066</v>
      </c>
      <c r="AP547" s="82"/>
      <c r="AQ547" s="87" t="s">
        <v>59</v>
      </c>
      <c r="AR547" s="87" t="s">
        <v>80</v>
      </c>
      <c r="AS547" s="82"/>
      <c r="AT547" s="87">
        <v>23</v>
      </c>
      <c r="AU547" s="87">
        <v>1</v>
      </c>
      <c r="AV547" s="87">
        <f>AT547+AU547</f>
        <v>24</v>
      </c>
      <c r="AW547" s="87" t="str">
        <f t="shared" si="54"/>
        <v>Accesibilidad Universal</v>
      </c>
      <c r="AX547" s="87" t="s">
        <v>246</v>
      </c>
      <c r="AY547" s="87"/>
      <c r="AZ547" s="87"/>
      <c r="BA547" s="91" t="s">
        <v>2542</v>
      </c>
      <c r="BB547" s="84"/>
      <c r="BC547" s="85"/>
      <c r="BD547" s="85"/>
    </row>
    <row r="548" spans="1:56" s="86" customFormat="1" ht="46.5" customHeight="1">
      <c r="A548" s="78">
        <v>543</v>
      </c>
      <c r="B548" s="79" t="s">
        <v>2543</v>
      </c>
      <c r="C548" s="88">
        <v>45454</v>
      </c>
      <c r="D548" s="89">
        <v>0.35416666666666669</v>
      </c>
      <c r="E548" s="87" t="s">
        <v>58</v>
      </c>
      <c r="F548" s="87" t="s">
        <v>1769</v>
      </c>
      <c r="G548" s="87" t="s">
        <v>62</v>
      </c>
      <c r="H548" s="90" t="s">
        <v>2544</v>
      </c>
      <c r="I548" s="90" t="s">
        <v>188</v>
      </c>
      <c r="J548" s="87" t="s">
        <v>70</v>
      </c>
      <c r="K548" s="87"/>
      <c r="L548" s="90" t="s">
        <v>2545</v>
      </c>
      <c r="M548" s="91" t="s">
        <v>2546</v>
      </c>
      <c r="N548" s="90" t="s">
        <v>2547</v>
      </c>
      <c r="O548" s="90" t="str">
        <f t="shared" si="51"/>
        <v>San Cristóbal</v>
      </c>
      <c r="P548" s="87" t="s">
        <v>370</v>
      </c>
      <c r="Q548" s="87"/>
      <c r="R548" s="87"/>
      <c r="S548" s="87"/>
      <c r="T548" s="87"/>
      <c r="U548" s="87"/>
      <c r="V548" s="90" t="str">
        <f t="shared" si="52"/>
        <v>Suroriente, Ruralidad</v>
      </c>
      <c r="W548" s="87" t="s">
        <v>108</v>
      </c>
      <c r="X548" s="87" t="s">
        <v>109</v>
      </c>
      <c r="Y548" s="87"/>
      <c r="Z548" s="87"/>
      <c r="AA548" s="87"/>
      <c r="AB548" s="87"/>
      <c r="AC548" s="90" t="str">
        <f t="shared" si="53"/>
        <v>San Cristobal, Cerros Orientales</v>
      </c>
      <c r="AD548" s="87" t="s">
        <v>371</v>
      </c>
      <c r="AE548" s="87" t="s">
        <v>222</v>
      </c>
      <c r="AF548" s="87"/>
      <c r="AG548" s="87"/>
      <c r="AH548" s="87"/>
      <c r="AI548" s="87"/>
      <c r="AJ548" s="87"/>
      <c r="AK548" s="87"/>
      <c r="AL548" s="87"/>
      <c r="AM548" s="87"/>
      <c r="AN548" s="90" t="s">
        <v>370</v>
      </c>
      <c r="AO548" s="90" t="s">
        <v>2548</v>
      </c>
      <c r="AP548" s="82"/>
      <c r="AQ548" s="87" t="s">
        <v>59</v>
      </c>
      <c r="AR548" s="87" t="s">
        <v>80</v>
      </c>
      <c r="AS548" s="82"/>
      <c r="AT548" s="87">
        <v>10</v>
      </c>
      <c r="AU548" s="87">
        <v>4</v>
      </c>
      <c r="AV548" s="87">
        <f>AT548+AU548</f>
        <v>14</v>
      </c>
      <c r="AW548" s="87" t="str">
        <f t="shared" si="54"/>
        <v>Ninguna</v>
      </c>
      <c r="AX548" s="87" t="s">
        <v>75</v>
      </c>
      <c r="AY548" s="87"/>
      <c r="AZ548" s="87"/>
      <c r="BA548" s="91" t="s">
        <v>2549</v>
      </c>
      <c r="BB548" s="84"/>
      <c r="BC548" s="85"/>
      <c r="BD548" s="85"/>
    </row>
    <row r="549" spans="1:56" s="86" customFormat="1" ht="46.5" customHeight="1">
      <c r="A549" s="87">
        <v>544</v>
      </c>
      <c r="B549" s="79" t="s">
        <v>2550</v>
      </c>
      <c r="C549" s="88">
        <v>45454</v>
      </c>
      <c r="D549" s="89">
        <v>0.39583333333333331</v>
      </c>
      <c r="E549" s="87" t="s">
        <v>562</v>
      </c>
      <c r="F549" s="87" t="s">
        <v>2445</v>
      </c>
      <c r="G549" s="87" t="s">
        <v>62</v>
      </c>
      <c r="H549" s="90" t="s">
        <v>2551</v>
      </c>
      <c r="I549" s="90" t="s">
        <v>188</v>
      </c>
      <c r="J549" s="87" t="s">
        <v>173</v>
      </c>
      <c r="K549" s="87" t="s">
        <v>104</v>
      </c>
      <c r="L549" s="90" t="s">
        <v>2552</v>
      </c>
      <c r="M549" s="91" t="s">
        <v>72</v>
      </c>
      <c r="N549" s="90" t="s">
        <v>2553</v>
      </c>
      <c r="O549" s="90" t="str">
        <f t="shared" si="51"/>
        <v>Tunjuelito</v>
      </c>
      <c r="P549" s="87" t="s">
        <v>618</v>
      </c>
      <c r="Q549" s="87"/>
      <c r="R549" s="87"/>
      <c r="S549" s="87"/>
      <c r="T549" s="87"/>
      <c r="U549" s="87"/>
      <c r="V549" s="90" t="str">
        <f t="shared" si="52"/>
        <v>Suroriente</v>
      </c>
      <c r="W549" s="87" t="s">
        <v>108</v>
      </c>
      <c r="X549" s="87"/>
      <c r="Y549" s="87"/>
      <c r="Z549" s="87"/>
      <c r="AA549" s="87"/>
      <c r="AB549" s="87"/>
      <c r="AC549" s="90" t="str">
        <f t="shared" si="53"/>
        <v>Tunjuelito, Arborizadora</v>
      </c>
      <c r="AD549" s="87" t="s">
        <v>618</v>
      </c>
      <c r="AE549" s="87" t="s">
        <v>110</v>
      </c>
      <c r="AF549" s="87"/>
      <c r="AG549" s="87"/>
      <c r="AH549" s="87"/>
      <c r="AI549" s="87"/>
      <c r="AJ549" s="87"/>
      <c r="AK549" s="87"/>
      <c r="AL549" s="87"/>
      <c r="AM549" s="87"/>
      <c r="AN549" s="90" t="s">
        <v>160</v>
      </c>
      <c r="AO549" s="90" t="s">
        <v>2554</v>
      </c>
      <c r="AP549" s="82"/>
      <c r="AQ549" s="87" t="s">
        <v>59</v>
      </c>
      <c r="AR549" s="87" t="s">
        <v>80</v>
      </c>
      <c r="AS549" s="82"/>
      <c r="AT549" s="87">
        <v>9</v>
      </c>
      <c r="AU549" s="87">
        <v>2</v>
      </c>
      <c r="AV549" s="87">
        <f t="shared" ref="AV549" si="55">AT549+AU549</f>
        <v>11</v>
      </c>
      <c r="AW549" s="87" t="str">
        <f>_xlfn.TEXTJOIN(", ",TRUE,$AX549:$AZ549)</f>
        <v>Horarios Acordes</v>
      </c>
      <c r="AX549" s="87" t="s">
        <v>213</v>
      </c>
      <c r="AY549" s="87"/>
      <c r="AZ549" s="87"/>
      <c r="BA549" s="91" t="s">
        <v>2555</v>
      </c>
      <c r="BB549" s="84"/>
      <c r="BC549" s="85"/>
      <c r="BD549" s="85"/>
    </row>
    <row r="550" spans="1:56" s="86" customFormat="1" ht="46.5" customHeight="1">
      <c r="A550" s="78">
        <v>545</v>
      </c>
      <c r="B550" s="79" t="s">
        <v>2556</v>
      </c>
      <c r="C550" s="88">
        <v>45454</v>
      </c>
      <c r="D550" s="89">
        <v>0.58333333333333337</v>
      </c>
      <c r="E550" s="87" t="s">
        <v>58</v>
      </c>
      <c r="F550" s="87" t="s">
        <v>1184</v>
      </c>
      <c r="G550" s="87" t="s">
        <v>62</v>
      </c>
      <c r="H550" s="90" t="s">
        <v>2557</v>
      </c>
      <c r="I550" s="90" t="s">
        <v>172</v>
      </c>
      <c r="J550" s="87" t="s">
        <v>70</v>
      </c>
      <c r="K550" s="87" t="s">
        <v>71</v>
      </c>
      <c r="L550" s="90" t="s">
        <v>2558</v>
      </c>
      <c r="M550" s="91" t="s">
        <v>2559</v>
      </c>
      <c r="N550" s="90" t="s">
        <v>2560</v>
      </c>
      <c r="O550" s="90" t="str">
        <f t="shared" si="51"/>
        <v>Distrital</v>
      </c>
      <c r="P550" s="87" t="s">
        <v>73</v>
      </c>
      <c r="Q550" s="87"/>
      <c r="R550" s="87"/>
      <c r="S550" s="87"/>
      <c r="T550" s="87"/>
      <c r="U550" s="87"/>
      <c r="V550" s="90" t="str">
        <f t="shared" si="52"/>
        <v>Distrital</v>
      </c>
      <c r="W550" s="87" t="s">
        <v>73</v>
      </c>
      <c r="X550" s="87"/>
      <c r="Y550" s="87"/>
      <c r="Z550" s="87"/>
      <c r="AA550" s="87"/>
      <c r="AB550" s="87"/>
      <c r="AC550" s="90" t="str">
        <f t="shared" si="53"/>
        <v>Distrital</v>
      </c>
      <c r="AD550" s="87" t="s">
        <v>73</v>
      </c>
      <c r="AE550" s="87"/>
      <c r="AF550" s="87"/>
      <c r="AG550" s="87"/>
      <c r="AH550" s="87"/>
      <c r="AI550" s="87"/>
      <c r="AJ550" s="87"/>
      <c r="AK550" s="87"/>
      <c r="AL550" s="87"/>
      <c r="AM550" s="87"/>
      <c r="AN550" s="90" t="s">
        <v>160</v>
      </c>
      <c r="AO550" s="90" t="s">
        <v>2561</v>
      </c>
      <c r="AP550" s="82"/>
      <c r="AQ550" s="87" t="s">
        <v>59</v>
      </c>
      <c r="AR550" s="87" t="s">
        <v>80</v>
      </c>
      <c r="AS550" s="82"/>
      <c r="AT550" s="87">
        <v>0</v>
      </c>
      <c r="AU550" s="87">
        <v>12</v>
      </c>
      <c r="AV550" s="87">
        <f>AT550+AU550</f>
        <v>12</v>
      </c>
      <c r="AW550" s="87" t="str">
        <f t="shared" si="54"/>
        <v>Ninguna</v>
      </c>
      <c r="AX550" s="87" t="s">
        <v>75</v>
      </c>
      <c r="AY550" s="87"/>
      <c r="AZ550" s="87"/>
      <c r="BA550" s="91" t="s">
        <v>2562</v>
      </c>
      <c r="BB550" s="84"/>
      <c r="BC550" s="85"/>
      <c r="BD550" s="85"/>
    </row>
    <row r="551" spans="1:56" s="86" customFormat="1" ht="46.5" customHeight="1">
      <c r="A551" s="87">
        <v>546</v>
      </c>
      <c r="B551" s="79" t="s">
        <v>2563</v>
      </c>
      <c r="C551" s="88">
        <v>45454</v>
      </c>
      <c r="D551" s="89">
        <v>0.58333333333333337</v>
      </c>
      <c r="E551" s="87" t="s">
        <v>58</v>
      </c>
      <c r="F551" s="87" t="s">
        <v>116</v>
      </c>
      <c r="G551" s="87" t="s">
        <v>62</v>
      </c>
      <c r="H551" s="90" t="s">
        <v>2564</v>
      </c>
      <c r="I551" s="90" t="s">
        <v>118</v>
      </c>
      <c r="J551" s="87" t="s">
        <v>70</v>
      </c>
      <c r="K551" s="87" t="s">
        <v>300</v>
      </c>
      <c r="L551" s="90" t="s">
        <v>2565</v>
      </c>
      <c r="M551" s="91" t="s">
        <v>72</v>
      </c>
      <c r="N551" s="90" t="s">
        <v>72</v>
      </c>
      <c r="O551" s="90" t="str">
        <f t="shared" si="51"/>
        <v>Distrital</v>
      </c>
      <c r="P551" s="87" t="s">
        <v>73</v>
      </c>
      <c r="Q551" s="87"/>
      <c r="R551" s="87"/>
      <c r="S551" s="87"/>
      <c r="T551" s="87"/>
      <c r="U551" s="87"/>
      <c r="V551" s="90" t="str">
        <f t="shared" si="52"/>
        <v>Distrital</v>
      </c>
      <c r="W551" s="87" t="s">
        <v>73</v>
      </c>
      <c r="X551" s="87"/>
      <c r="Y551" s="87"/>
      <c r="Z551" s="87"/>
      <c r="AA551" s="87"/>
      <c r="AB551" s="87"/>
      <c r="AC551" s="90" t="str">
        <f t="shared" si="53"/>
        <v>Distrital</v>
      </c>
      <c r="AD551" s="87" t="s">
        <v>73</v>
      </c>
      <c r="AE551" s="87"/>
      <c r="AF551" s="87"/>
      <c r="AG551" s="87"/>
      <c r="AH551" s="87"/>
      <c r="AI551" s="87"/>
      <c r="AJ551" s="87"/>
      <c r="AK551" s="87"/>
      <c r="AL551" s="87"/>
      <c r="AM551" s="87"/>
      <c r="AN551" s="90" t="s">
        <v>160</v>
      </c>
      <c r="AO551" s="90" t="s">
        <v>2566</v>
      </c>
      <c r="AP551" s="82"/>
      <c r="AQ551" s="87" t="s">
        <v>59</v>
      </c>
      <c r="AR551" s="87" t="s">
        <v>80</v>
      </c>
      <c r="AS551" s="82"/>
      <c r="AT551" s="87">
        <v>7</v>
      </c>
      <c r="AU551" s="87">
        <v>7</v>
      </c>
      <c r="AV551" s="87">
        <f>AT551+AU551</f>
        <v>14</v>
      </c>
      <c r="AW551" s="87" t="str">
        <f t="shared" si="54"/>
        <v>Ninguna</v>
      </c>
      <c r="AX551" s="87" t="s">
        <v>75</v>
      </c>
      <c r="AY551" s="87"/>
      <c r="AZ551" s="87"/>
      <c r="BA551" s="91" t="s">
        <v>2567</v>
      </c>
      <c r="BB551" s="84"/>
      <c r="BC551" s="85"/>
      <c r="BD551" s="85"/>
    </row>
    <row r="552" spans="1:56" s="86" customFormat="1" ht="46.5" customHeight="1">
      <c r="A552" s="78">
        <v>547</v>
      </c>
      <c r="B552" s="79" t="s">
        <v>2568</v>
      </c>
      <c r="C552" s="88">
        <v>45454</v>
      </c>
      <c r="D552" s="89">
        <v>0.58333333333333337</v>
      </c>
      <c r="E552" s="87" t="s">
        <v>93</v>
      </c>
      <c r="F552" s="87" t="s">
        <v>321</v>
      </c>
      <c r="G552" s="87" t="s">
        <v>62</v>
      </c>
      <c r="H552" s="90" t="s">
        <v>2569</v>
      </c>
      <c r="I552" s="90" t="s">
        <v>64</v>
      </c>
      <c r="J552" s="87" t="s">
        <v>70</v>
      </c>
      <c r="K552" s="87" t="s">
        <v>1810</v>
      </c>
      <c r="L552" s="90" t="s">
        <v>2570</v>
      </c>
      <c r="M552" s="91">
        <v>3053986582</v>
      </c>
      <c r="N552" s="90" t="s">
        <v>2571</v>
      </c>
      <c r="O552" s="90" t="str">
        <f t="shared" si="51"/>
        <v>Chapinero</v>
      </c>
      <c r="P552" s="87" t="s">
        <v>221</v>
      </c>
      <c r="Q552" s="87"/>
      <c r="R552" s="87"/>
      <c r="S552" s="87"/>
      <c r="T552" s="87"/>
      <c r="U552" s="87"/>
      <c r="V552" s="90" t="str">
        <f t="shared" si="52"/>
        <v>Centro Ampliado, Ruralidad</v>
      </c>
      <c r="W552" s="87" t="s">
        <v>415</v>
      </c>
      <c r="X552" s="87" t="s">
        <v>109</v>
      </c>
      <c r="Y552" s="87"/>
      <c r="Z552" s="87"/>
      <c r="AA552" s="87"/>
      <c r="AB552" s="87"/>
      <c r="AC552" s="90" t="str">
        <f t="shared" si="53"/>
        <v>Centro Histórico, Chapinero, Cerros Orientales</v>
      </c>
      <c r="AD552" s="87" t="s">
        <v>488</v>
      </c>
      <c r="AE552" s="87" t="s">
        <v>221</v>
      </c>
      <c r="AF552" s="87" t="s">
        <v>222</v>
      </c>
      <c r="AG552" s="87"/>
      <c r="AH552" s="87"/>
      <c r="AI552" s="87"/>
      <c r="AJ552" s="87"/>
      <c r="AK552" s="87"/>
      <c r="AL552" s="87"/>
      <c r="AM552" s="87"/>
      <c r="AN552" s="90" t="s">
        <v>160</v>
      </c>
      <c r="AO552" s="90" t="s">
        <v>2572</v>
      </c>
      <c r="AP552" s="82"/>
      <c r="AQ552" s="87" t="s">
        <v>59</v>
      </c>
      <c r="AR552" s="87" t="s">
        <v>80</v>
      </c>
      <c r="AS552" s="82"/>
      <c r="AT552" s="87">
        <v>13</v>
      </c>
      <c r="AU552" s="87">
        <v>1</v>
      </c>
      <c r="AV552" s="87">
        <f t="shared" si="46"/>
        <v>14</v>
      </c>
      <c r="AW552" s="87" t="str">
        <f t="shared" si="54"/>
        <v>Contenidos adaptados</v>
      </c>
      <c r="AX552" s="87" t="s">
        <v>212</v>
      </c>
      <c r="AY552" s="87"/>
      <c r="AZ552" s="87"/>
      <c r="BA552" s="91" t="s">
        <v>2573</v>
      </c>
      <c r="BB552" s="84"/>
      <c r="BC552" s="85"/>
      <c r="BD552" s="85"/>
    </row>
    <row r="553" spans="1:56" s="86" customFormat="1" ht="46.5" customHeight="1">
      <c r="A553" s="87">
        <v>548</v>
      </c>
      <c r="B553" s="79" t="s">
        <v>2574</v>
      </c>
      <c r="C553" s="88">
        <v>45454</v>
      </c>
      <c r="D553" s="89">
        <v>0.60416666666666663</v>
      </c>
      <c r="E553" s="87" t="s">
        <v>58</v>
      </c>
      <c r="F553" s="87" t="s">
        <v>135</v>
      </c>
      <c r="G553" s="87" t="s">
        <v>62</v>
      </c>
      <c r="H553" s="90" t="s">
        <v>2575</v>
      </c>
      <c r="I553" s="90" t="s">
        <v>64</v>
      </c>
      <c r="J553" s="87" t="s">
        <v>70</v>
      </c>
      <c r="K553" s="87" t="s">
        <v>71</v>
      </c>
      <c r="L553" s="90" t="s">
        <v>2576</v>
      </c>
      <c r="M553" s="91" t="s">
        <v>2577</v>
      </c>
      <c r="N553" s="90" t="s">
        <v>2578</v>
      </c>
      <c r="O553" s="90" t="str">
        <f t="shared" si="51"/>
        <v>Ciudad Bolívar, Chapinero</v>
      </c>
      <c r="P553" s="87" t="s">
        <v>107</v>
      </c>
      <c r="Q553" s="87" t="s">
        <v>221</v>
      </c>
      <c r="R553" s="87"/>
      <c r="S553" s="87"/>
      <c r="T553" s="87"/>
      <c r="U553" s="87"/>
      <c r="V553" s="90" t="str">
        <f t="shared" si="52"/>
        <v>Suroriente, Centro Ampliado, Ruralidad</v>
      </c>
      <c r="W553" s="87" t="s">
        <v>108</v>
      </c>
      <c r="X553" s="87" t="s">
        <v>415</v>
      </c>
      <c r="Y553" s="87" t="s">
        <v>109</v>
      </c>
      <c r="Z553" s="87"/>
      <c r="AA553" s="87"/>
      <c r="AB553" s="87"/>
      <c r="AC553" s="90" t="str">
        <f t="shared" si="53"/>
        <v>Chapinero, Cerros Orientales, Centro Histórico, Arborizadora, Lucero, Cuenca del Tunjuelo</v>
      </c>
      <c r="AD553" s="87" t="s">
        <v>221</v>
      </c>
      <c r="AE553" s="87" t="s">
        <v>222</v>
      </c>
      <c r="AF553" s="87" t="s">
        <v>488</v>
      </c>
      <c r="AG553" s="87" t="s">
        <v>110</v>
      </c>
      <c r="AH553" s="87" t="s">
        <v>111</v>
      </c>
      <c r="AI553" s="87" t="s">
        <v>112</v>
      </c>
      <c r="AJ553" s="87"/>
      <c r="AK553" s="87"/>
      <c r="AL553" s="87"/>
      <c r="AM553" s="87"/>
      <c r="AN553" s="90" t="s">
        <v>160</v>
      </c>
      <c r="AO553" s="90" t="s">
        <v>2579</v>
      </c>
      <c r="AP553" s="82"/>
      <c r="AQ553" s="87" t="s">
        <v>59</v>
      </c>
      <c r="AR553" s="87" t="s">
        <v>80</v>
      </c>
      <c r="AS553" s="82"/>
      <c r="AT553" s="87">
        <v>0</v>
      </c>
      <c r="AU553" s="87">
        <v>6</v>
      </c>
      <c r="AV553" s="87">
        <f t="shared" si="46"/>
        <v>6</v>
      </c>
      <c r="AW553" s="87" t="str">
        <f t="shared" si="54"/>
        <v>Ninguna</v>
      </c>
      <c r="AX553" s="87" t="s">
        <v>75</v>
      </c>
      <c r="AY553" s="87"/>
      <c r="AZ553" s="87"/>
      <c r="BA553" s="91" t="s">
        <v>2580</v>
      </c>
      <c r="BB553" s="84"/>
      <c r="BC553" s="85"/>
      <c r="BD553" s="85"/>
    </row>
    <row r="554" spans="1:56" s="86" customFormat="1" ht="46.5" customHeight="1">
      <c r="A554" s="78">
        <v>549</v>
      </c>
      <c r="B554" s="79" t="s">
        <v>1860</v>
      </c>
      <c r="C554" s="88">
        <v>45454</v>
      </c>
      <c r="D554" s="89">
        <v>0.70833333333333337</v>
      </c>
      <c r="E554" s="87" t="s">
        <v>93</v>
      </c>
      <c r="F554" s="87" t="s">
        <v>102</v>
      </c>
      <c r="G554" s="87" t="s">
        <v>95</v>
      </c>
      <c r="H554" s="90" t="s">
        <v>2581</v>
      </c>
      <c r="I554" s="90" t="s">
        <v>118</v>
      </c>
      <c r="J554" s="87" t="s">
        <v>119</v>
      </c>
      <c r="K554" s="87" t="s">
        <v>129</v>
      </c>
      <c r="L554" s="90" t="s">
        <v>407</v>
      </c>
      <c r="M554" s="91">
        <v>3188799909</v>
      </c>
      <c r="N554" s="90" t="s">
        <v>439</v>
      </c>
      <c r="O554" s="90" t="s">
        <v>73</v>
      </c>
      <c r="P554" s="87" t="s">
        <v>73</v>
      </c>
      <c r="Q554" s="87"/>
      <c r="R554" s="87"/>
      <c r="S554" s="87"/>
      <c r="T554" s="87"/>
      <c r="U554" s="87"/>
      <c r="V554" s="90" t="str">
        <f t="shared" si="52"/>
        <v>Distrital</v>
      </c>
      <c r="W554" s="87" t="s">
        <v>73</v>
      </c>
      <c r="X554" s="87"/>
      <c r="Y554" s="87"/>
      <c r="Z554" s="87"/>
      <c r="AA554" s="87"/>
      <c r="AB554" s="87"/>
      <c r="AC554" s="90" t="str">
        <f t="shared" si="53"/>
        <v>Distrital</v>
      </c>
      <c r="AD554" s="87" t="s">
        <v>73</v>
      </c>
      <c r="AE554" s="87"/>
      <c r="AF554" s="87"/>
      <c r="AG554" s="87"/>
      <c r="AH554" s="87"/>
      <c r="AI554" s="87"/>
      <c r="AJ554" s="87"/>
      <c r="AK554" s="87"/>
      <c r="AL554" s="87"/>
      <c r="AM554" s="87"/>
      <c r="AN554" s="90" t="s">
        <v>160</v>
      </c>
      <c r="AO554" s="102" t="s">
        <v>2582</v>
      </c>
      <c r="AP554" s="82"/>
      <c r="AQ554" s="87" t="s">
        <v>59</v>
      </c>
      <c r="AR554" s="87" t="s">
        <v>80</v>
      </c>
      <c r="AS554" s="82"/>
      <c r="AT554" s="87">
        <v>58</v>
      </c>
      <c r="AU554" s="87">
        <v>2</v>
      </c>
      <c r="AV554" s="87">
        <f>AT554+AU554</f>
        <v>60</v>
      </c>
      <c r="AW554" s="87" t="str">
        <f t="shared" si="54"/>
        <v>Ninguna</v>
      </c>
      <c r="AX554" s="87" t="s">
        <v>75</v>
      </c>
      <c r="AY554" s="87"/>
      <c r="AZ554" s="87"/>
      <c r="BA554" s="91" t="s">
        <v>2583</v>
      </c>
      <c r="BB554" s="84"/>
      <c r="BC554" s="85"/>
      <c r="BD554" s="85"/>
    </row>
    <row r="555" spans="1:56" s="86" customFormat="1" ht="46.5" customHeight="1">
      <c r="A555" s="87">
        <v>550</v>
      </c>
      <c r="B555" s="79" t="s">
        <v>909</v>
      </c>
      <c r="C555" s="88">
        <v>45455</v>
      </c>
      <c r="D555" s="89">
        <v>0.33333333333333331</v>
      </c>
      <c r="E555" s="87" t="s">
        <v>93</v>
      </c>
      <c r="F555" s="87" t="s">
        <v>321</v>
      </c>
      <c r="G555" s="87" t="s">
        <v>62</v>
      </c>
      <c r="H555" s="90" t="s">
        <v>910</v>
      </c>
      <c r="I555" s="90" t="s">
        <v>64</v>
      </c>
      <c r="J555" s="87" t="s">
        <v>70</v>
      </c>
      <c r="K555" s="87" t="s">
        <v>1810</v>
      </c>
      <c r="L555" s="90" t="s">
        <v>2584</v>
      </c>
      <c r="M555" s="91">
        <v>3156499699</v>
      </c>
      <c r="N555" s="90" t="s">
        <v>2215</v>
      </c>
      <c r="O555" s="90" t="str">
        <f t="shared" ref="O555:O585" si="56">_xlfn.TEXTJOIN(", ",TRUE,$P555:$T555)</f>
        <v>Tunjuelito</v>
      </c>
      <c r="P555" s="87" t="s">
        <v>618</v>
      </c>
      <c r="Q555" s="87"/>
      <c r="R555" s="87"/>
      <c r="S555" s="87"/>
      <c r="T555" s="87"/>
      <c r="U555" s="87"/>
      <c r="V555" s="90" t="str">
        <f t="shared" si="52"/>
        <v>Suroriente</v>
      </c>
      <c r="W555" s="87" t="s">
        <v>108</v>
      </c>
      <c r="X555" s="87"/>
      <c r="Y555" s="87"/>
      <c r="Z555" s="87"/>
      <c r="AA555" s="87"/>
      <c r="AB555" s="87"/>
      <c r="AC555" s="90" t="str">
        <f t="shared" si="53"/>
        <v>Tunjuelito, Arborizadora</v>
      </c>
      <c r="AD555" s="87" t="s">
        <v>618</v>
      </c>
      <c r="AE555" s="87" t="s">
        <v>110</v>
      </c>
      <c r="AF555" s="87"/>
      <c r="AG555" s="87"/>
      <c r="AH555" s="87"/>
      <c r="AI555" s="87"/>
      <c r="AJ555" s="87"/>
      <c r="AK555" s="87"/>
      <c r="AL555" s="87"/>
      <c r="AM555" s="87"/>
      <c r="AN555" s="90" t="s">
        <v>618</v>
      </c>
      <c r="AO555" s="90" t="s">
        <v>2585</v>
      </c>
      <c r="AP555" s="82"/>
      <c r="AQ555" s="87" t="s">
        <v>59</v>
      </c>
      <c r="AR555" s="87" t="s">
        <v>80</v>
      </c>
      <c r="AS555" s="82"/>
      <c r="AT555" s="87">
        <v>21</v>
      </c>
      <c r="AU555" s="87">
        <v>1</v>
      </c>
      <c r="AV555" s="87">
        <f t="shared" si="46"/>
        <v>22</v>
      </c>
      <c r="AW555" s="87" t="str">
        <f t="shared" si="54"/>
        <v>Horarios Acordes</v>
      </c>
      <c r="AX555" s="87" t="s">
        <v>213</v>
      </c>
      <c r="AY555" s="87"/>
      <c r="AZ555" s="87"/>
      <c r="BA555" s="91" t="s">
        <v>2586</v>
      </c>
      <c r="BB555" s="84"/>
      <c r="BC555" s="85"/>
      <c r="BD555" s="85"/>
    </row>
    <row r="556" spans="1:56" s="86" customFormat="1" ht="46.5" customHeight="1">
      <c r="A556" s="78">
        <v>551</v>
      </c>
      <c r="B556" s="79" t="s">
        <v>661</v>
      </c>
      <c r="C556" s="88">
        <v>45455</v>
      </c>
      <c r="D556" s="89">
        <v>0.35416666666666669</v>
      </c>
      <c r="E556" s="87" t="s">
        <v>93</v>
      </c>
      <c r="F556" s="87" t="s">
        <v>321</v>
      </c>
      <c r="G556" s="87" t="s">
        <v>62</v>
      </c>
      <c r="H556" s="90" t="s">
        <v>662</v>
      </c>
      <c r="I556" s="90" t="s">
        <v>64</v>
      </c>
      <c r="J556" s="87" t="s">
        <v>70</v>
      </c>
      <c r="K556" s="87" t="s">
        <v>1810</v>
      </c>
      <c r="L556" s="90" t="s">
        <v>2587</v>
      </c>
      <c r="M556" s="91" t="s">
        <v>2588</v>
      </c>
      <c r="N556" s="90" t="s">
        <v>1335</v>
      </c>
      <c r="O556" s="90" t="str">
        <f t="shared" si="56"/>
        <v>Teusaquillo</v>
      </c>
      <c r="P556" s="87" t="s">
        <v>665</v>
      </c>
      <c r="Q556" s="87"/>
      <c r="R556" s="87"/>
      <c r="S556" s="87"/>
      <c r="T556" s="87"/>
      <c r="U556" s="87"/>
      <c r="V556" s="90" t="str">
        <f t="shared" si="52"/>
        <v>Centro Ampliado</v>
      </c>
      <c r="W556" s="87" t="s">
        <v>415</v>
      </c>
      <c r="X556" s="87"/>
      <c r="Y556" s="87"/>
      <c r="Z556" s="87"/>
      <c r="AA556" s="87"/>
      <c r="AB556" s="87"/>
      <c r="AC556" s="90" t="str">
        <f t="shared" si="53"/>
        <v>Teusaquillo</v>
      </c>
      <c r="AD556" s="87" t="s">
        <v>665</v>
      </c>
      <c r="AE556" s="87"/>
      <c r="AF556" s="87"/>
      <c r="AG556" s="87"/>
      <c r="AH556" s="87"/>
      <c r="AI556" s="87"/>
      <c r="AJ556" s="87"/>
      <c r="AK556" s="87"/>
      <c r="AL556" s="87"/>
      <c r="AM556" s="87"/>
      <c r="AN556" s="90" t="s">
        <v>665</v>
      </c>
      <c r="AO556" s="90" t="s">
        <v>2589</v>
      </c>
      <c r="AP556" s="82"/>
      <c r="AQ556" s="87" t="s">
        <v>59</v>
      </c>
      <c r="AR556" s="87" t="s">
        <v>80</v>
      </c>
      <c r="AS556" s="82"/>
      <c r="AT556" s="87">
        <v>12</v>
      </c>
      <c r="AU556" s="87">
        <v>1</v>
      </c>
      <c r="AV556" s="87">
        <f>AT556+AU556</f>
        <v>13</v>
      </c>
      <c r="AW556" s="87" t="str">
        <f t="shared" si="54"/>
        <v>Ninguna</v>
      </c>
      <c r="AX556" s="87" t="s">
        <v>75</v>
      </c>
      <c r="AY556" s="87"/>
      <c r="AZ556" s="87"/>
      <c r="BA556" s="91" t="s">
        <v>2590</v>
      </c>
      <c r="BB556" s="84"/>
      <c r="BC556" s="85"/>
      <c r="BD556" s="85"/>
    </row>
    <row r="557" spans="1:56" s="86" customFormat="1" ht="46.5" customHeight="1">
      <c r="A557" s="87">
        <v>552</v>
      </c>
      <c r="B557" s="79" t="s">
        <v>2591</v>
      </c>
      <c r="C557" s="88">
        <v>45455</v>
      </c>
      <c r="D557" s="89">
        <v>0.49305555555555558</v>
      </c>
      <c r="E557" s="87" t="s">
        <v>562</v>
      </c>
      <c r="F557" s="87" t="s">
        <v>1472</v>
      </c>
      <c r="G557" s="87" t="s">
        <v>62</v>
      </c>
      <c r="H557" s="90" t="s">
        <v>2592</v>
      </c>
      <c r="I557" s="90" t="s">
        <v>64</v>
      </c>
      <c r="J557" s="87" t="s">
        <v>173</v>
      </c>
      <c r="K557" s="87"/>
      <c r="L557" s="90" t="s">
        <v>2593</v>
      </c>
      <c r="M557" s="91">
        <v>3102727031</v>
      </c>
      <c r="N557" s="90" t="s">
        <v>2594</v>
      </c>
      <c r="O557" s="90" t="str">
        <f t="shared" si="56"/>
        <v>Distrital</v>
      </c>
      <c r="P557" s="87" t="s">
        <v>73</v>
      </c>
      <c r="Q557" s="87"/>
      <c r="R557" s="87"/>
      <c r="S557" s="87"/>
      <c r="T557" s="87"/>
      <c r="U557" s="87"/>
      <c r="V557" s="90" t="str">
        <f t="shared" si="52"/>
        <v>Distrital</v>
      </c>
      <c r="W557" s="87" t="s">
        <v>73</v>
      </c>
      <c r="X557" s="87"/>
      <c r="Y557" s="87"/>
      <c r="Z557" s="87"/>
      <c r="AA557" s="87"/>
      <c r="AB557" s="87"/>
      <c r="AC557" s="90" t="str">
        <f t="shared" si="53"/>
        <v>Distrital</v>
      </c>
      <c r="AD557" s="87" t="s">
        <v>73</v>
      </c>
      <c r="AE557" s="87"/>
      <c r="AF557" s="87"/>
      <c r="AG557" s="87"/>
      <c r="AH557" s="87"/>
      <c r="AI557" s="87"/>
      <c r="AJ557" s="87"/>
      <c r="AK557" s="87"/>
      <c r="AL557" s="87"/>
      <c r="AM557" s="87"/>
      <c r="AN557" s="90" t="s">
        <v>160</v>
      </c>
      <c r="AO557" s="90" t="s">
        <v>2595</v>
      </c>
      <c r="AP557" s="82"/>
      <c r="AQ557" s="87" t="s">
        <v>59</v>
      </c>
      <c r="AR557" s="87" t="s">
        <v>80</v>
      </c>
      <c r="AS557" s="82"/>
      <c r="AT557" s="87">
        <v>4</v>
      </c>
      <c r="AU557" s="87">
        <v>4</v>
      </c>
      <c r="AV557" s="87">
        <f>AT557+AU557</f>
        <v>8</v>
      </c>
      <c r="AW557" s="87" t="str">
        <f>_xlfn.TEXTJOIN(", ",TRUE,$AX557:$AZ557)</f>
        <v>Ninguna</v>
      </c>
      <c r="AX557" s="87" t="s">
        <v>75</v>
      </c>
      <c r="AY557" s="87"/>
      <c r="AZ557" s="87"/>
      <c r="BA557" s="91" t="s">
        <v>2596</v>
      </c>
      <c r="BB557" s="84"/>
      <c r="BC557" s="85"/>
      <c r="BD557" s="85"/>
    </row>
    <row r="558" spans="1:56" s="86" customFormat="1" ht="46.5" customHeight="1">
      <c r="A558" s="78">
        <v>553</v>
      </c>
      <c r="B558" s="79" t="s">
        <v>2597</v>
      </c>
      <c r="C558" s="88">
        <v>45455</v>
      </c>
      <c r="D558" s="89">
        <v>0.58333333333333337</v>
      </c>
      <c r="E558" s="87" t="s">
        <v>58</v>
      </c>
      <c r="F558" s="87" t="s">
        <v>2121</v>
      </c>
      <c r="G558" s="87" t="s">
        <v>62</v>
      </c>
      <c r="H558" s="90" t="s">
        <v>2598</v>
      </c>
      <c r="I558" s="90" t="s">
        <v>64</v>
      </c>
      <c r="J558" s="87" t="s">
        <v>70</v>
      </c>
      <c r="K558" s="87" t="s">
        <v>71</v>
      </c>
      <c r="L558" s="90" t="s">
        <v>2599</v>
      </c>
      <c r="M558" s="91" t="s">
        <v>72</v>
      </c>
      <c r="N558" s="90" t="s">
        <v>72</v>
      </c>
      <c r="O558" s="90" t="str">
        <f t="shared" si="56"/>
        <v>Distrital</v>
      </c>
      <c r="P558" s="87" t="s">
        <v>73</v>
      </c>
      <c r="Q558" s="87"/>
      <c r="R558" s="87"/>
      <c r="S558" s="87"/>
      <c r="T558" s="87"/>
      <c r="U558" s="87"/>
      <c r="V558" s="90" t="str">
        <f t="shared" si="52"/>
        <v>Distrital</v>
      </c>
      <c r="W558" s="87" t="s">
        <v>73</v>
      </c>
      <c r="X558" s="87"/>
      <c r="Y558" s="87"/>
      <c r="Z558" s="87"/>
      <c r="AA558" s="87"/>
      <c r="AB558" s="87"/>
      <c r="AC558" s="90" t="str">
        <f t="shared" si="53"/>
        <v>Distrital</v>
      </c>
      <c r="AD558" s="87" t="s">
        <v>73</v>
      </c>
      <c r="AE558" s="87"/>
      <c r="AF558" s="87"/>
      <c r="AG558" s="87"/>
      <c r="AH558" s="87"/>
      <c r="AI558" s="87"/>
      <c r="AJ558" s="87"/>
      <c r="AK558" s="87"/>
      <c r="AL558" s="87"/>
      <c r="AM558" s="87"/>
      <c r="AN558" s="90" t="s">
        <v>160</v>
      </c>
      <c r="AO558" s="90" t="s">
        <v>2600</v>
      </c>
      <c r="AP558" s="82"/>
      <c r="AQ558" s="87" t="s">
        <v>59</v>
      </c>
      <c r="AR558" s="87" t="s">
        <v>80</v>
      </c>
      <c r="AS558" s="82"/>
      <c r="AT558" s="87">
        <v>22</v>
      </c>
      <c r="AU558" s="87">
        <v>2</v>
      </c>
      <c r="AV558" s="87">
        <f t="shared" ref="AV558" si="57">AT558+AU558</f>
        <v>24</v>
      </c>
      <c r="AW558" s="87" t="str">
        <f t="shared" si="54"/>
        <v>Contenidos adaptados</v>
      </c>
      <c r="AX558" s="87" t="s">
        <v>212</v>
      </c>
      <c r="AY558" s="87"/>
      <c r="AZ558" s="87"/>
      <c r="BA558" s="91" t="s">
        <v>2601</v>
      </c>
      <c r="BB558" s="84"/>
      <c r="BC558" s="85"/>
      <c r="BD558" s="85"/>
    </row>
    <row r="559" spans="1:56" s="86" customFormat="1" ht="46.5" customHeight="1">
      <c r="A559" s="87">
        <v>554</v>
      </c>
      <c r="B559" s="79" t="s">
        <v>1872</v>
      </c>
      <c r="C559" s="88">
        <v>45455</v>
      </c>
      <c r="D559" s="89">
        <v>0.58333333333333337</v>
      </c>
      <c r="E559" s="87" t="s">
        <v>93</v>
      </c>
      <c r="F559" s="87" t="s">
        <v>321</v>
      </c>
      <c r="G559" s="87" t="s">
        <v>95</v>
      </c>
      <c r="H559" s="90" t="s">
        <v>2602</v>
      </c>
      <c r="I559" s="90" t="s">
        <v>64</v>
      </c>
      <c r="J559" s="87" t="s">
        <v>70</v>
      </c>
      <c r="K559" s="87" t="s">
        <v>1810</v>
      </c>
      <c r="L559" s="90" t="s">
        <v>2603</v>
      </c>
      <c r="M559" s="91">
        <v>3003358888</v>
      </c>
      <c r="N559" s="90" t="s">
        <v>2372</v>
      </c>
      <c r="O559" s="90" t="str">
        <f t="shared" si="56"/>
        <v>Ciudad Bolívar</v>
      </c>
      <c r="P559" s="87" t="s">
        <v>107</v>
      </c>
      <c r="Q559" s="87"/>
      <c r="R559" s="87"/>
      <c r="S559" s="87"/>
      <c r="T559" s="87"/>
      <c r="U559" s="87"/>
      <c r="V559" s="90" t="str">
        <f t="shared" si="52"/>
        <v>Suroccidente, Ruralidad</v>
      </c>
      <c r="W559" s="87" t="s">
        <v>474</v>
      </c>
      <c r="X559" s="87" t="s">
        <v>109</v>
      </c>
      <c r="Y559" s="87"/>
      <c r="Z559" s="87"/>
      <c r="AA559" s="87"/>
      <c r="AB559" s="87"/>
      <c r="AC559" s="90" t="str">
        <f t="shared" si="53"/>
        <v>Arborizadora, Lucero, Cuenca del Tunjuelo</v>
      </c>
      <c r="AD559" s="87" t="s">
        <v>110</v>
      </c>
      <c r="AE559" s="87" t="s">
        <v>111</v>
      </c>
      <c r="AF559" s="87" t="s">
        <v>112</v>
      </c>
      <c r="AG559" s="87"/>
      <c r="AH559" s="87"/>
      <c r="AI559" s="87"/>
      <c r="AJ559" s="87"/>
      <c r="AK559" s="87"/>
      <c r="AL559" s="87"/>
      <c r="AM559" s="87"/>
      <c r="AN559" s="90" t="s">
        <v>160</v>
      </c>
      <c r="AO559" s="102" t="s">
        <v>2604</v>
      </c>
      <c r="AP559" s="82"/>
      <c r="AQ559" s="87" t="s">
        <v>59</v>
      </c>
      <c r="AR559" s="87" t="s">
        <v>80</v>
      </c>
      <c r="AS559" s="82"/>
      <c r="AT559" s="87">
        <v>19</v>
      </c>
      <c r="AU559" s="87">
        <v>1</v>
      </c>
      <c r="AV559" s="87">
        <f>AT559+AU559</f>
        <v>20</v>
      </c>
      <c r="AW559" s="87" t="str">
        <f t="shared" si="54"/>
        <v>Ninguna</v>
      </c>
      <c r="AX559" s="87" t="s">
        <v>75</v>
      </c>
      <c r="AY559" s="87"/>
      <c r="AZ559" s="87"/>
      <c r="BA559" s="91" t="s">
        <v>2605</v>
      </c>
      <c r="BB559" s="84"/>
      <c r="BC559" s="85"/>
      <c r="BD559" s="85"/>
    </row>
    <row r="560" spans="1:56" s="86" customFormat="1" ht="46.5" customHeight="1">
      <c r="A560" s="78">
        <v>555</v>
      </c>
      <c r="B560" s="79" t="s">
        <v>2606</v>
      </c>
      <c r="C560" s="88">
        <v>45455</v>
      </c>
      <c r="D560" s="89">
        <v>0.60416666666666663</v>
      </c>
      <c r="E560" s="87" t="s">
        <v>58</v>
      </c>
      <c r="F560" s="87" t="s">
        <v>149</v>
      </c>
      <c r="G560" s="87" t="s">
        <v>62</v>
      </c>
      <c r="H560" s="90" t="s">
        <v>2607</v>
      </c>
      <c r="I560" s="90" t="s">
        <v>64</v>
      </c>
      <c r="J560" s="87" t="s">
        <v>173</v>
      </c>
      <c r="K560" s="87"/>
      <c r="L560" s="90" t="s">
        <v>2608</v>
      </c>
      <c r="M560" s="91" t="s">
        <v>72</v>
      </c>
      <c r="N560" s="90" t="s">
        <v>2609</v>
      </c>
      <c r="O560" s="90" t="str">
        <f t="shared" si="56"/>
        <v>Kennedy</v>
      </c>
      <c r="P560" s="87" t="s">
        <v>473</v>
      </c>
      <c r="Q560" s="87"/>
      <c r="R560" s="87"/>
      <c r="S560" s="87"/>
      <c r="T560" s="87"/>
      <c r="U560" s="87"/>
      <c r="V560" s="90" t="str">
        <f t="shared" si="52"/>
        <v>Suroccidente</v>
      </c>
      <c r="W560" s="87" t="s">
        <v>474</v>
      </c>
      <c r="X560" s="87"/>
      <c r="Y560" s="87"/>
      <c r="Z560" s="87"/>
      <c r="AA560" s="87"/>
      <c r="AB560" s="87"/>
      <c r="AC560" s="90" t="str">
        <f t="shared" si="53"/>
        <v>Tintal, Kennedy, Patio Bonito, Edén, Porvenir, Bosa</v>
      </c>
      <c r="AD560" s="87" t="s">
        <v>1134</v>
      </c>
      <c r="AE560" s="87" t="s">
        <v>473</v>
      </c>
      <c r="AF560" s="87" t="s">
        <v>639</v>
      </c>
      <c r="AG560" s="87" t="s">
        <v>704</v>
      </c>
      <c r="AH560" s="87" t="s">
        <v>705</v>
      </c>
      <c r="AI560" s="87" t="s">
        <v>472</v>
      </c>
      <c r="AJ560" s="87"/>
      <c r="AK560" s="87"/>
      <c r="AL560" s="87"/>
      <c r="AM560" s="87"/>
      <c r="AN560" s="90" t="s">
        <v>2610</v>
      </c>
      <c r="AO560" s="90" t="s">
        <v>2611</v>
      </c>
      <c r="AP560" s="82"/>
      <c r="AQ560" s="87" t="s">
        <v>59</v>
      </c>
      <c r="AR560" s="87" t="s">
        <v>80</v>
      </c>
      <c r="AS560" s="82"/>
      <c r="AT560" s="87">
        <v>16</v>
      </c>
      <c r="AU560" s="87">
        <v>2</v>
      </c>
      <c r="AV560" s="87">
        <f t="shared" si="46"/>
        <v>18</v>
      </c>
      <c r="AW560" s="87" t="str">
        <f t="shared" si="54"/>
        <v>Ninguna</v>
      </c>
      <c r="AX560" s="87" t="s">
        <v>75</v>
      </c>
      <c r="AY560" s="87"/>
      <c r="AZ560" s="87"/>
      <c r="BA560" s="91" t="s">
        <v>2612</v>
      </c>
      <c r="BB560" s="84"/>
      <c r="BC560" s="85"/>
      <c r="BD560" s="85"/>
    </row>
    <row r="561" spans="1:56" s="86" customFormat="1" ht="46.5" customHeight="1">
      <c r="A561" s="87">
        <v>556</v>
      </c>
      <c r="B561" s="79" t="s">
        <v>2613</v>
      </c>
      <c r="C561" s="88">
        <v>45455</v>
      </c>
      <c r="D561" s="89">
        <v>0.61458333333333337</v>
      </c>
      <c r="E561" s="87" t="s">
        <v>58</v>
      </c>
      <c r="F561" s="87" t="s">
        <v>2121</v>
      </c>
      <c r="G561" s="87" t="s">
        <v>95</v>
      </c>
      <c r="H561" s="90" t="s">
        <v>2614</v>
      </c>
      <c r="I561" s="90" t="s">
        <v>188</v>
      </c>
      <c r="J561" s="87" t="s">
        <v>119</v>
      </c>
      <c r="K561" s="87" t="s">
        <v>1322</v>
      </c>
      <c r="L561" s="90" t="s">
        <v>72</v>
      </c>
      <c r="M561" s="91" t="s">
        <v>72</v>
      </c>
      <c r="N561" s="90" t="s">
        <v>72</v>
      </c>
      <c r="O561" s="90" t="str">
        <f t="shared" si="56"/>
        <v>Teusaquillo</v>
      </c>
      <c r="P561" s="87" t="s">
        <v>665</v>
      </c>
      <c r="Q561" s="87"/>
      <c r="R561" s="87"/>
      <c r="S561" s="87"/>
      <c r="T561" s="87"/>
      <c r="U561" s="87"/>
      <c r="V561" s="90" t="str">
        <f t="shared" si="52"/>
        <v>Centro Ampliado</v>
      </c>
      <c r="W561" s="87" t="s">
        <v>415</v>
      </c>
      <c r="X561" s="87"/>
      <c r="Y561" s="87"/>
      <c r="Z561" s="87"/>
      <c r="AA561" s="87"/>
      <c r="AB561" s="87"/>
      <c r="AC561" s="90" t="str">
        <f t="shared" si="53"/>
        <v>Teusaquillo</v>
      </c>
      <c r="AD561" s="87" t="s">
        <v>665</v>
      </c>
      <c r="AE561" s="87"/>
      <c r="AF561" s="87"/>
      <c r="AG561" s="87"/>
      <c r="AH561" s="87"/>
      <c r="AI561" s="87"/>
      <c r="AJ561" s="87"/>
      <c r="AK561" s="87"/>
      <c r="AL561" s="87"/>
      <c r="AM561" s="87"/>
      <c r="AN561" s="90" t="s">
        <v>160</v>
      </c>
      <c r="AO561" s="90" t="s">
        <v>2615</v>
      </c>
      <c r="AP561" s="82"/>
      <c r="AQ561" s="87" t="s">
        <v>59</v>
      </c>
      <c r="AR561" s="87" t="s">
        <v>80</v>
      </c>
      <c r="AS561" s="82"/>
      <c r="AT561" s="87">
        <v>3</v>
      </c>
      <c r="AU561" s="87">
        <v>3</v>
      </c>
      <c r="AV561" s="87">
        <f t="shared" ref="AV561" si="58">AT561+AU561</f>
        <v>6</v>
      </c>
      <c r="AW561" s="87" t="str">
        <f t="shared" si="54"/>
        <v>Ninguna</v>
      </c>
      <c r="AX561" s="87" t="s">
        <v>75</v>
      </c>
      <c r="AY561" s="87"/>
      <c r="AZ561" s="87"/>
      <c r="BA561" s="91" t="s">
        <v>2616</v>
      </c>
      <c r="BB561" s="84"/>
      <c r="BC561" s="85"/>
      <c r="BD561" s="85"/>
    </row>
    <row r="562" spans="1:56" s="86" customFormat="1" ht="46.5" customHeight="1">
      <c r="A562" s="78">
        <v>557</v>
      </c>
      <c r="B562" s="79" t="s">
        <v>2006</v>
      </c>
      <c r="C562" s="88">
        <v>45456</v>
      </c>
      <c r="D562" s="89">
        <v>0.33333333333333331</v>
      </c>
      <c r="E562" s="87" t="s">
        <v>93</v>
      </c>
      <c r="F562" s="87" t="s">
        <v>321</v>
      </c>
      <c r="G562" s="87" t="s">
        <v>62</v>
      </c>
      <c r="H562" s="90" t="s">
        <v>2617</v>
      </c>
      <c r="I562" s="90" t="s">
        <v>64</v>
      </c>
      <c r="J562" s="87" t="s">
        <v>70</v>
      </c>
      <c r="K562" s="87" t="s">
        <v>1810</v>
      </c>
      <c r="L562" s="90" t="s">
        <v>2618</v>
      </c>
      <c r="M562" s="91">
        <v>3004614328</v>
      </c>
      <c r="N562" s="90" t="s">
        <v>2619</v>
      </c>
      <c r="O562" s="90" t="str">
        <f t="shared" si="56"/>
        <v>Barrios Unidos</v>
      </c>
      <c r="P562" s="87" t="s">
        <v>686</v>
      </c>
      <c r="Q562" s="87"/>
      <c r="R562" s="87"/>
      <c r="S562" s="87"/>
      <c r="T562" s="87"/>
      <c r="U562" s="87"/>
      <c r="V562" s="90" t="str">
        <f t="shared" si="52"/>
        <v>Centro Ampliado</v>
      </c>
      <c r="W562" s="87" t="s">
        <v>415</v>
      </c>
      <c r="X562" s="87"/>
      <c r="Y562" s="87"/>
      <c r="Z562" s="87"/>
      <c r="AA562" s="87"/>
      <c r="AB562" s="87"/>
      <c r="AC562" s="90" t="str">
        <f t="shared" si="53"/>
        <v>Barrios Unidos</v>
      </c>
      <c r="AD562" s="87" t="s">
        <v>686</v>
      </c>
      <c r="AE562" s="87"/>
      <c r="AF562" s="87"/>
      <c r="AG562" s="87"/>
      <c r="AH562" s="87"/>
      <c r="AI562" s="87"/>
      <c r="AJ562" s="87"/>
      <c r="AK562" s="87"/>
      <c r="AL562" s="87"/>
      <c r="AM562" s="87"/>
      <c r="AN562" s="90" t="s">
        <v>2620</v>
      </c>
      <c r="AO562" s="90" t="s">
        <v>2621</v>
      </c>
      <c r="AP562" s="82"/>
      <c r="AQ562" s="87" t="s">
        <v>59</v>
      </c>
      <c r="AR562" s="87" t="s">
        <v>80</v>
      </c>
      <c r="AS562" s="82"/>
      <c r="AT562" s="87">
        <v>31</v>
      </c>
      <c r="AU562" s="87">
        <v>2</v>
      </c>
      <c r="AV562" s="87">
        <f>AT562+AU562</f>
        <v>33</v>
      </c>
      <c r="AW562" s="87" t="str">
        <f t="shared" si="54"/>
        <v>Ninguna</v>
      </c>
      <c r="AX562" s="87" t="s">
        <v>75</v>
      </c>
      <c r="AY562" s="87"/>
      <c r="AZ562" s="87"/>
      <c r="BA562" s="91" t="s">
        <v>2622</v>
      </c>
      <c r="BB562" s="84"/>
      <c r="BC562" s="85"/>
      <c r="BD562" s="85"/>
    </row>
    <row r="563" spans="1:56" s="86" customFormat="1" ht="46.5" customHeight="1">
      <c r="A563" s="87">
        <v>558</v>
      </c>
      <c r="B563" s="79" t="s">
        <v>699</v>
      </c>
      <c r="C563" s="88">
        <v>45456</v>
      </c>
      <c r="D563" s="89">
        <v>0.35416666666666669</v>
      </c>
      <c r="E563" s="87" t="s">
        <v>93</v>
      </c>
      <c r="F563" s="87" t="s">
        <v>321</v>
      </c>
      <c r="G563" s="87" t="s">
        <v>62</v>
      </c>
      <c r="H563" s="90" t="s">
        <v>700</v>
      </c>
      <c r="I563" s="90" t="s">
        <v>64</v>
      </c>
      <c r="J563" s="87" t="s">
        <v>70</v>
      </c>
      <c r="K563" s="87" t="s">
        <v>1810</v>
      </c>
      <c r="L563" s="90" t="s">
        <v>1374</v>
      </c>
      <c r="M563" s="91">
        <v>3132133446</v>
      </c>
      <c r="N563" s="90" t="s">
        <v>703</v>
      </c>
      <c r="O563" s="90" t="str">
        <f t="shared" si="56"/>
        <v>Bosa</v>
      </c>
      <c r="P563" s="87" t="s">
        <v>472</v>
      </c>
      <c r="Q563" s="87"/>
      <c r="R563" s="87"/>
      <c r="S563" s="87"/>
      <c r="T563" s="87"/>
      <c r="U563" s="87"/>
      <c r="V563" s="90" t="str">
        <f t="shared" si="52"/>
        <v>Suroccidente</v>
      </c>
      <c r="W563" s="87" t="s">
        <v>474</v>
      </c>
      <c r="X563" s="87"/>
      <c r="Y563" s="87"/>
      <c r="Z563" s="87"/>
      <c r="AA563" s="87"/>
      <c r="AB563" s="87"/>
      <c r="AC563" s="90" t="str">
        <f t="shared" si="53"/>
        <v>Bosa, Edén, Porvenir</v>
      </c>
      <c r="AD563" s="87" t="s">
        <v>472</v>
      </c>
      <c r="AE563" s="87" t="s">
        <v>704</v>
      </c>
      <c r="AF563" s="87" t="s">
        <v>705</v>
      </c>
      <c r="AG563" s="87"/>
      <c r="AH563" s="87"/>
      <c r="AI563" s="87"/>
      <c r="AJ563" s="87"/>
      <c r="AK563" s="87"/>
      <c r="AL563" s="87"/>
      <c r="AM563" s="87"/>
      <c r="AN563" s="90" t="s">
        <v>1374</v>
      </c>
      <c r="AO563" s="90" t="s">
        <v>2623</v>
      </c>
      <c r="AP563" s="82"/>
      <c r="AQ563" s="87" t="s">
        <v>59</v>
      </c>
      <c r="AR563" s="87" t="s">
        <v>80</v>
      </c>
      <c r="AS563" s="82"/>
      <c r="AT563" s="87">
        <v>22</v>
      </c>
      <c r="AU563" s="87">
        <v>1</v>
      </c>
      <c r="AV563" s="87">
        <f>AT563+AU563</f>
        <v>23</v>
      </c>
      <c r="AW563" s="87" t="str">
        <f t="shared" si="54"/>
        <v>Accesibilidad Universal</v>
      </c>
      <c r="AX563" s="87" t="s">
        <v>246</v>
      </c>
      <c r="AY563" s="87"/>
      <c r="AZ563" s="87"/>
      <c r="BA563" s="91" t="s">
        <v>2624</v>
      </c>
      <c r="BB563" s="84"/>
      <c r="BC563" s="85"/>
      <c r="BD563" s="85"/>
    </row>
    <row r="564" spans="1:56" s="86" customFormat="1" ht="46.5" customHeight="1">
      <c r="A564" s="78">
        <v>559</v>
      </c>
      <c r="B564" s="79" t="s">
        <v>2625</v>
      </c>
      <c r="C564" s="88">
        <v>45456</v>
      </c>
      <c r="D564" s="89">
        <v>0.41666666666666669</v>
      </c>
      <c r="E564" s="87" t="s">
        <v>58</v>
      </c>
      <c r="F564" s="87" t="s">
        <v>1184</v>
      </c>
      <c r="G564" s="87" t="s">
        <v>62</v>
      </c>
      <c r="H564" s="90" t="s">
        <v>2626</v>
      </c>
      <c r="I564" s="90" t="s">
        <v>64</v>
      </c>
      <c r="J564" s="87" t="s">
        <v>70</v>
      </c>
      <c r="K564" s="87" t="s">
        <v>71</v>
      </c>
      <c r="L564" s="90" t="s">
        <v>2441</v>
      </c>
      <c r="M564" s="91">
        <v>3192173863</v>
      </c>
      <c r="N564" s="90" t="s">
        <v>2016</v>
      </c>
      <c r="O564" s="90" t="str">
        <f t="shared" si="56"/>
        <v>Distrital</v>
      </c>
      <c r="P564" s="87" t="s">
        <v>73</v>
      </c>
      <c r="Q564" s="87"/>
      <c r="R564" s="87"/>
      <c r="S564" s="87"/>
      <c r="T564" s="87"/>
      <c r="U564" s="87"/>
      <c r="V564" s="90" t="str">
        <f t="shared" si="52"/>
        <v>Distrital</v>
      </c>
      <c r="W564" s="87" t="s">
        <v>73</v>
      </c>
      <c r="X564" s="87"/>
      <c r="Y564" s="87"/>
      <c r="Z564" s="87"/>
      <c r="AA564" s="87"/>
      <c r="AB564" s="87"/>
      <c r="AC564" s="90" t="str">
        <f t="shared" si="53"/>
        <v>Distrital</v>
      </c>
      <c r="AD564" s="87" t="s">
        <v>73</v>
      </c>
      <c r="AE564" s="87"/>
      <c r="AF564" s="87"/>
      <c r="AG564" s="87"/>
      <c r="AH564" s="87"/>
      <c r="AI564" s="87"/>
      <c r="AJ564" s="87"/>
      <c r="AK564" s="87"/>
      <c r="AL564" s="87"/>
      <c r="AM564" s="87"/>
      <c r="AN564" s="90" t="s">
        <v>160</v>
      </c>
      <c r="AO564" s="94" t="s">
        <v>536</v>
      </c>
      <c r="AP564" s="82"/>
      <c r="AQ564" s="87" t="s">
        <v>59</v>
      </c>
      <c r="AR564" s="87" t="s">
        <v>80</v>
      </c>
      <c r="AS564" s="82"/>
      <c r="AT564" s="87">
        <v>0</v>
      </c>
      <c r="AU564" s="87">
        <v>12</v>
      </c>
      <c r="AV564" s="87">
        <f>AT564+AU564</f>
        <v>12</v>
      </c>
      <c r="AW564" s="87" t="str">
        <f>_xlfn.TEXTJOIN(", ",TRUE,$AX564:$AZ564)</f>
        <v>Ninguna</v>
      </c>
      <c r="AX564" s="87" t="s">
        <v>75</v>
      </c>
      <c r="AY564" s="87"/>
      <c r="AZ564" s="87"/>
      <c r="BA564" s="91" t="s">
        <v>2627</v>
      </c>
      <c r="BB564" s="84"/>
      <c r="BC564" s="85"/>
      <c r="BD564" s="85"/>
    </row>
    <row r="565" spans="1:56" s="86" customFormat="1" ht="46.5" customHeight="1">
      <c r="A565" s="87">
        <v>560</v>
      </c>
      <c r="B565" s="79" t="s">
        <v>2628</v>
      </c>
      <c r="C565" s="88">
        <v>45456</v>
      </c>
      <c r="D565" s="89">
        <v>0.41666666666666669</v>
      </c>
      <c r="E565" s="87" t="s">
        <v>562</v>
      </c>
      <c r="F565" s="87" t="s">
        <v>1472</v>
      </c>
      <c r="G565" s="87" t="s">
        <v>62</v>
      </c>
      <c r="H565" s="90" t="s">
        <v>2629</v>
      </c>
      <c r="I565" s="90" t="s">
        <v>64</v>
      </c>
      <c r="J565" s="87" t="s">
        <v>119</v>
      </c>
      <c r="K565" s="87" t="s">
        <v>1322</v>
      </c>
      <c r="L565" s="90" t="s">
        <v>2630</v>
      </c>
      <c r="M565" s="91">
        <v>3108675147</v>
      </c>
      <c r="N565" s="90" t="s">
        <v>2631</v>
      </c>
      <c r="O565" s="90" t="str">
        <f t="shared" si="56"/>
        <v>Teusaquillo</v>
      </c>
      <c r="P565" s="87" t="s">
        <v>665</v>
      </c>
      <c r="Q565" s="87"/>
      <c r="R565" s="87"/>
      <c r="S565" s="87"/>
      <c r="T565" s="87"/>
      <c r="U565" s="87"/>
      <c r="V565" s="90" t="str">
        <f t="shared" si="52"/>
        <v>Centro Ampliado</v>
      </c>
      <c r="W565" s="87" t="s">
        <v>415</v>
      </c>
      <c r="X565" s="87"/>
      <c r="Y565" s="87"/>
      <c r="Z565" s="87"/>
      <c r="AA565" s="87"/>
      <c r="AB565" s="87"/>
      <c r="AC565" s="90" t="str">
        <f t="shared" si="53"/>
        <v>Teusaquillo</v>
      </c>
      <c r="AD565" s="87" t="s">
        <v>665</v>
      </c>
      <c r="AE565" s="87"/>
      <c r="AF565" s="87"/>
      <c r="AG565" s="87"/>
      <c r="AH565" s="87"/>
      <c r="AI565" s="87"/>
      <c r="AJ565" s="87"/>
      <c r="AK565" s="87"/>
      <c r="AL565" s="87"/>
      <c r="AM565" s="87"/>
      <c r="AN565" s="90" t="s">
        <v>665</v>
      </c>
      <c r="AO565" s="90" t="s">
        <v>2632</v>
      </c>
      <c r="AP565" s="82"/>
      <c r="AQ565" s="87" t="s">
        <v>59</v>
      </c>
      <c r="AR565" s="87" t="s">
        <v>80</v>
      </c>
      <c r="AS565" s="82"/>
      <c r="AT565" s="87">
        <v>2</v>
      </c>
      <c r="AU565" s="87">
        <v>3</v>
      </c>
      <c r="AV565" s="87">
        <f t="shared" ref="AV565" si="59">AT565+AU565</f>
        <v>5</v>
      </c>
      <c r="AW565" s="87" t="str">
        <f t="shared" si="54"/>
        <v>Ninguna</v>
      </c>
      <c r="AX565" s="87" t="s">
        <v>75</v>
      </c>
      <c r="AY565" s="87"/>
      <c r="AZ565" s="87"/>
      <c r="BA565" s="91" t="s">
        <v>2633</v>
      </c>
      <c r="BB565" s="84"/>
      <c r="BC565" s="85"/>
      <c r="BD565" s="85"/>
    </row>
    <row r="566" spans="1:56" s="86" customFormat="1" ht="46.5" customHeight="1">
      <c r="A566" s="78">
        <v>561</v>
      </c>
      <c r="B566" s="79" t="s">
        <v>437</v>
      </c>
      <c r="C566" s="88">
        <v>45456</v>
      </c>
      <c r="D566" s="89">
        <v>0.70833333333333337</v>
      </c>
      <c r="E566" s="87" t="s">
        <v>93</v>
      </c>
      <c r="F566" s="87" t="s">
        <v>102</v>
      </c>
      <c r="G566" s="87" t="s">
        <v>62</v>
      </c>
      <c r="H566" s="90" t="s">
        <v>2634</v>
      </c>
      <c r="I566" s="90" t="s">
        <v>118</v>
      </c>
      <c r="J566" s="87" t="s">
        <v>70</v>
      </c>
      <c r="K566" s="87" t="s">
        <v>129</v>
      </c>
      <c r="L566" s="90" t="s">
        <v>407</v>
      </c>
      <c r="M566" s="91" t="s">
        <v>2635</v>
      </c>
      <c r="N566" s="90" t="s">
        <v>1351</v>
      </c>
      <c r="O566" s="90" t="str">
        <f t="shared" si="56"/>
        <v>Distrital</v>
      </c>
      <c r="P566" s="87" t="s">
        <v>73</v>
      </c>
      <c r="Q566" s="87"/>
      <c r="R566" s="87"/>
      <c r="S566" s="87"/>
      <c r="T566" s="87"/>
      <c r="U566" s="87"/>
      <c r="V566" s="90" t="str">
        <f t="shared" si="52"/>
        <v>Distrital</v>
      </c>
      <c r="W566" s="87" t="s">
        <v>73</v>
      </c>
      <c r="X566" s="87"/>
      <c r="Y566" s="87"/>
      <c r="Z566" s="87"/>
      <c r="AA566" s="87"/>
      <c r="AB566" s="87"/>
      <c r="AC566" s="90" t="str">
        <f t="shared" si="53"/>
        <v>Distrital</v>
      </c>
      <c r="AD566" s="87" t="s">
        <v>73</v>
      </c>
      <c r="AE566" s="87"/>
      <c r="AF566" s="87"/>
      <c r="AG566" s="87"/>
      <c r="AH566" s="87"/>
      <c r="AI566" s="87"/>
      <c r="AJ566" s="87"/>
      <c r="AK566" s="87"/>
      <c r="AL566" s="87"/>
      <c r="AM566" s="87"/>
      <c r="AN566" s="90" t="s">
        <v>160</v>
      </c>
      <c r="AO566" s="90" t="s">
        <v>2636</v>
      </c>
      <c r="AP566" s="82"/>
      <c r="AQ566" s="87" t="s">
        <v>59</v>
      </c>
      <c r="AR566" s="87" t="s">
        <v>80</v>
      </c>
      <c r="AS566" s="82"/>
      <c r="AT566" s="87">
        <v>60</v>
      </c>
      <c r="AU566" s="87">
        <v>2</v>
      </c>
      <c r="AV566" s="87">
        <f t="shared" ref="AV566:AV567" si="60">AT566+AU566</f>
        <v>62</v>
      </c>
      <c r="AW566" s="87" t="str">
        <f t="shared" si="54"/>
        <v>Ninguna</v>
      </c>
      <c r="AX566" s="87" t="s">
        <v>75</v>
      </c>
      <c r="AY566" s="87"/>
      <c r="AZ566" s="87"/>
      <c r="BA566" s="91" t="s">
        <v>2637</v>
      </c>
      <c r="BB566" s="84"/>
      <c r="BC566" s="85"/>
      <c r="BD566" s="85"/>
    </row>
    <row r="567" spans="1:56" s="86" customFormat="1" ht="46.5" customHeight="1">
      <c r="A567" s="87">
        <v>562</v>
      </c>
      <c r="B567" s="79" t="s">
        <v>2625</v>
      </c>
      <c r="C567" s="103">
        <v>45457</v>
      </c>
      <c r="D567" s="104">
        <v>0.29166666666666669</v>
      </c>
      <c r="E567" s="87" t="s">
        <v>58</v>
      </c>
      <c r="F567" s="87" t="s">
        <v>1184</v>
      </c>
      <c r="G567" s="87" t="s">
        <v>95</v>
      </c>
      <c r="H567" s="90" t="s">
        <v>2626</v>
      </c>
      <c r="I567" s="90" t="s">
        <v>64</v>
      </c>
      <c r="J567" s="87" t="s">
        <v>70</v>
      </c>
      <c r="K567" s="87" t="s">
        <v>71</v>
      </c>
      <c r="L567" s="90" t="s">
        <v>2441</v>
      </c>
      <c r="M567" s="91">
        <v>3192173863</v>
      </c>
      <c r="N567" s="90" t="s">
        <v>2016</v>
      </c>
      <c r="O567" s="90" t="str">
        <f t="shared" si="56"/>
        <v>Distrital</v>
      </c>
      <c r="P567" s="87" t="s">
        <v>73</v>
      </c>
      <c r="Q567" s="87"/>
      <c r="R567" s="87"/>
      <c r="S567" s="87"/>
      <c r="T567" s="87"/>
      <c r="U567" s="87"/>
      <c r="V567" s="90" t="str">
        <f t="shared" si="52"/>
        <v>Distrital</v>
      </c>
      <c r="W567" s="87" t="s">
        <v>73</v>
      </c>
      <c r="X567" s="87"/>
      <c r="Y567" s="87"/>
      <c r="Z567" s="87"/>
      <c r="AA567" s="87"/>
      <c r="AB567" s="87"/>
      <c r="AC567" s="90" t="str">
        <f t="shared" si="53"/>
        <v>Distrital</v>
      </c>
      <c r="AD567" s="87" t="s">
        <v>73</v>
      </c>
      <c r="AE567" s="87"/>
      <c r="AF567" s="87"/>
      <c r="AG567" s="87"/>
      <c r="AH567" s="87"/>
      <c r="AI567" s="87"/>
      <c r="AJ567" s="87"/>
      <c r="AK567" s="87"/>
      <c r="AL567" s="87"/>
      <c r="AM567" s="87"/>
      <c r="AN567" s="90" t="s">
        <v>160</v>
      </c>
      <c r="AO567" s="105" t="s">
        <v>2638</v>
      </c>
      <c r="AP567" s="82"/>
      <c r="AQ567" s="87" t="s">
        <v>59</v>
      </c>
      <c r="AR567" s="87" t="s">
        <v>80</v>
      </c>
      <c r="AS567" s="82"/>
      <c r="AT567" s="87">
        <v>0</v>
      </c>
      <c r="AU567" s="87">
        <v>14</v>
      </c>
      <c r="AV567" s="87">
        <f t="shared" si="60"/>
        <v>14</v>
      </c>
      <c r="AW567" s="87" t="str">
        <f t="shared" si="54"/>
        <v>Ninguna</v>
      </c>
      <c r="AX567" s="87" t="s">
        <v>75</v>
      </c>
      <c r="AY567" s="87"/>
      <c r="AZ567" s="87"/>
      <c r="BA567" s="91" t="s">
        <v>2639</v>
      </c>
      <c r="BB567" s="84"/>
      <c r="BC567" s="85"/>
      <c r="BD567" s="85"/>
    </row>
    <row r="568" spans="1:56" s="86" customFormat="1" ht="46.5" customHeight="1">
      <c r="A568" s="78">
        <v>563</v>
      </c>
      <c r="B568" s="79" t="s">
        <v>2640</v>
      </c>
      <c r="C568" s="80">
        <v>45457</v>
      </c>
      <c r="D568" s="104">
        <v>0.41666666666666669</v>
      </c>
      <c r="E568" s="106" t="s">
        <v>58</v>
      </c>
      <c r="F568" s="87" t="s">
        <v>2227</v>
      </c>
      <c r="G568" s="87" t="s">
        <v>62</v>
      </c>
      <c r="H568" s="90" t="s">
        <v>2228</v>
      </c>
      <c r="I568" s="90" t="s">
        <v>188</v>
      </c>
      <c r="J568" s="87" t="s">
        <v>173</v>
      </c>
      <c r="K568" s="87"/>
      <c r="L568" s="90" t="s">
        <v>2256</v>
      </c>
      <c r="M568" s="91">
        <v>3228657280</v>
      </c>
      <c r="N568" s="90" t="s">
        <v>2257</v>
      </c>
      <c r="O568" s="90" t="str">
        <f t="shared" si="56"/>
        <v>Barrios Unidos, Teusaquillo</v>
      </c>
      <c r="P568" s="87" t="s">
        <v>686</v>
      </c>
      <c r="Q568" s="87" t="s">
        <v>665</v>
      </c>
      <c r="R568" s="87"/>
      <c r="S568" s="87"/>
      <c r="T568" s="87"/>
      <c r="U568" s="87"/>
      <c r="V568" s="90" t="str">
        <f t="shared" si="52"/>
        <v>Centro Ampliado</v>
      </c>
      <c r="W568" s="87" t="s">
        <v>415</v>
      </c>
      <c r="X568" s="87"/>
      <c r="Y568" s="87"/>
      <c r="Z568" s="87"/>
      <c r="AA568" s="87"/>
      <c r="AB568" s="87"/>
      <c r="AC568" s="90" t="str">
        <f t="shared" si="53"/>
        <v>Barrios Unidos, Teusaquillo</v>
      </c>
      <c r="AD568" s="87" t="s">
        <v>686</v>
      </c>
      <c r="AE568" s="87" t="s">
        <v>665</v>
      </c>
      <c r="AF568" s="87"/>
      <c r="AG568" s="87"/>
      <c r="AH568" s="87"/>
      <c r="AI568" s="87"/>
      <c r="AJ568" s="87"/>
      <c r="AK568" s="87"/>
      <c r="AL568" s="87"/>
      <c r="AM568" s="87"/>
      <c r="AN568" s="90" t="s">
        <v>2641</v>
      </c>
      <c r="AO568" s="90" t="s">
        <v>2642</v>
      </c>
      <c r="AP568" s="82"/>
      <c r="AQ568" s="87" t="s">
        <v>59</v>
      </c>
      <c r="AR568" s="87" t="s">
        <v>80</v>
      </c>
      <c r="AS568" s="82"/>
      <c r="AT568" s="87">
        <v>14</v>
      </c>
      <c r="AU568" s="87">
        <v>16</v>
      </c>
      <c r="AV568" s="87">
        <f t="shared" si="46"/>
        <v>30</v>
      </c>
      <c r="AW568" s="87" t="str">
        <f t="shared" si="54"/>
        <v>Contenidos adaptados</v>
      </c>
      <c r="AX568" s="87" t="s">
        <v>212</v>
      </c>
      <c r="AY568" s="87"/>
      <c r="AZ568" s="87"/>
      <c r="BA568" s="91" t="s">
        <v>2643</v>
      </c>
      <c r="BB568" s="84"/>
      <c r="BC568" s="85"/>
      <c r="BD568" s="85"/>
    </row>
    <row r="569" spans="1:56" s="86" customFormat="1" ht="46.5" customHeight="1">
      <c r="A569" s="87">
        <v>564</v>
      </c>
      <c r="B569" s="79" t="s">
        <v>2644</v>
      </c>
      <c r="C569" s="80">
        <v>45457</v>
      </c>
      <c r="D569" s="104">
        <v>0.41666666666666669</v>
      </c>
      <c r="E569" s="106" t="s">
        <v>58</v>
      </c>
      <c r="F569" s="87" t="s">
        <v>2227</v>
      </c>
      <c r="G569" s="87" t="s">
        <v>62</v>
      </c>
      <c r="H569" s="90" t="s">
        <v>2228</v>
      </c>
      <c r="I569" s="90" t="s">
        <v>188</v>
      </c>
      <c r="J569" s="87" t="s">
        <v>173</v>
      </c>
      <c r="K569" s="87"/>
      <c r="L569" s="90" t="s">
        <v>2256</v>
      </c>
      <c r="M569" s="91">
        <v>3228657280</v>
      </c>
      <c r="N569" s="90" t="s">
        <v>2257</v>
      </c>
      <c r="O569" s="90" t="str">
        <f t="shared" si="56"/>
        <v>Barrios Unidos, Teusaquillo</v>
      </c>
      <c r="P569" s="87" t="s">
        <v>686</v>
      </c>
      <c r="Q569" s="87" t="s">
        <v>665</v>
      </c>
      <c r="R569" s="87"/>
      <c r="S569" s="87"/>
      <c r="T569" s="87"/>
      <c r="U569" s="87"/>
      <c r="V569" s="90" t="str">
        <f t="shared" si="52"/>
        <v>Centro Ampliado</v>
      </c>
      <c r="W569" s="87" t="s">
        <v>415</v>
      </c>
      <c r="X569" s="87"/>
      <c r="Y569" s="87"/>
      <c r="Z569" s="87"/>
      <c r="AA569" s="87"/>
      <c r="AB569" s="87"/>
      <c r="AC569" s="90" t="str">
        <f t="shared" si="53"/>
        <v>Barrios Unidos, Teusaquillo</v>
      </c>
      <c r="AD569" s="87" t="s">
        <v>686</v>
      </c>
      <c r="AE569" s="87" t="s">
        <v>665</v>
      </c>
      <c r="AF569" s="87"/>
      <c r="AG569" s="87"/>
      <c r="AH569" s="87"/>
      <c r="AI569" s="87"/>
      <c r="AJ569" s="87"/>
      <c r="AK569" s="87"/>
      <c r="AL569" s="87"/>
      <c r="AM569" s="87"/>
      <c r="AN569" s="90" t="s">
        <v>2645</v>
      </c>
      <c r="AO569" s="90" t="s">
        <v>2646</v>
      </c>
      <c r="AP569" s="82"/>
      <c r="AQ569" s="87" t="s">
        <v>59</v>
      </c>
      <c r="AR569" s="87" t="s">
        <v>80</v>
      </c>
      <c r="AS569" s="82"/>
      <c r="AT569" s="87">
        <v>30</v>
      </c>
      <c r="AU569" s="87">
        <v>11</v>
      </c>
      <c r="AV569" s="87">
        <f t="shared" si="46"/>
        <v>41</v>
      </c>
      <c r="AW569" s="87" t="str">
        <f t="shared" si="54"/>
        <v>Ninguna</v>
      </c>
      <c r="AX569" s="87" t="s">
        <v>75</v>
      </c>
      <c r="AY569" s="87"/>
      <c r="AZ569" s="87"/>
      <c r="BA569" s="91" t="s">
        <v>2647</v>
      </c>
      <c r="BB569" s="84"/>
      <c r="BC569" s="85"/>
      <c r="BD569" s="85"/>
    </row>
    <row r="570" spans="1:56" s="86" customFormat="1" ht="46.5" customHeight="1">
      <c r="A570" s="78">
        <v>565</v>
      </c>
      <c r="B570" s="79" t="s">
        <v>2648</v>
      </c>
      <c r="C570" s="80">
        <v>45457</v>
      </c>
      <c r="D570" s="81">
        <v>0.41666666666666669</v>
      </c>
      <c r="E570" s="87" t="s">
        <v>58</v>
      </c>
      <c r="F570" s="107" t="s">
        <v>2227</v>
      </c>
      <c r="G570" s="87" t="s">
        <v>62</v>
      </c>
      <c r="H570" s="90" t="s">
        <v>2228</v>
      </c>
      <c r="I570" s="90" t="s">
        <v>188</v>
      </c>
      <c r="J570" s="87" t="s">
        <v>173</v>
      </c>
      <c r="K570" s="87"/>
      <c r="L570" s="90" t="s">
        <v>2256</v>
      </c>
      <c r="M570" s="91">
        <v>3228657280</v>
      </c>
      <c r="N570" s="90" t="s">
        <v>2257</v>
      </c>
      <c r="O570" s="90" t="str">
        <f t="shared" si="56"/>
        <v>Barrios Unidos, Teusaquillo</v>
      </c>
      <c r="P570" s="87" t="s">
        <v>686</v>
      </c>
      <c r="Q570" s="87" t="s">
        <v>665</v>
      </c>
      <c r="R570" s="87"/>
      <c r="S570" s="87"/>
      <c r="T570" s="87"/>
      <c r="U570" s="87"/>
      <c r="V570" s="90" t="str">
        <f t="shared" si="52"/>
        <v>Centro Ampliado</v>
      </c>
      <c r="W570" s="87" t="s">
        <v>415</v>
      </c>
      <c r="X570" s="87"/>
      <c r="Y570" s="87"/>
      <c r="Z570" s="87"/>
      <c r="AA570" s="87"/>
      <c r="AB570" s="87"/>
      <c r="AC570" s="90" t="str">
        <f t="shared" si="53"/>
        <v>Barrios Unidos, Teusaquillo</v>
      </c>
      <c r="AD570" s="87" t="s">
        <v>686</v>
      </c>
      <c r="AE570" s="87" t="s">
        <v>665</v>
      </c>
      <c r="AF570" s="87"/>
      <c r="AG570" s="87"/>
      <c r="AH570" s="87"/>
      <c r="AI570" s="87"/>
      <c r="AJ570" s="87"/>
      <c r="AK570" s="87"/>
      <c r="AL570" s="87"/>
      <c r="AM570" s="87"/>
      <c r="AN570" s="90" t="s">
        <v>2649</v>
      </c>
      <c r="AO570" s="90" t="s">
        <v>2650</v>
      </c>
      <c r="AP570" s="82"/>
      <c r="AQ570" s="87" t="s">
        <v>59</v>
      </c>
      <c r="AR570" s="87" t="s">
        <v>80</v>
      </c>
      <c r="AS570" s="82"/>
      <c r="AT570" s="87">
        <v>26</v>
      </c>
      <c r="AU570" s="87">
        <v>13</v>
      </c>
      <c r="AV570" s="87">
        <f t="shared" si="46"/>
        <v>39</v>
      </c>
      <c r="AW570" s="87" t="str">
        <f t="shared" si="54"/>
        <v>Contenidos adaptados</v>
      </c>
      <c r="AX570" s="87" t="s">
        <v>212</v>
      </c>
      <c r="AY570" s="87"/>
      <c r="AZ570" s="87"/>
      <c r="BA570" s="91" t="s">
        <v>2651</v>
      </c>
      <c r="BB570" s="84"/>
      <c r="BC570" s="85"/>
      <c r="BD570" s="85"/>
    </row>
    <row r="571" spans="1:56" s="86" customFormat="1" ht="46.5" customHeight="1">
      <c r="A571" s="87">
        <v>566</v>
      </c>
      <c r="B571" s="79" t="s">
        <v>2652</v>
      </c>
      <c r="C571" s="88">
        <v>45457</v>
      </c>
      <c r="D571" s="89">
        <v>0.58333333333333337</v>
      </c>
      <c r="E571" s="87" t="s">
        <v>58</v>
      </c>
      <c r="F571" s="78" t="s">
        <v>135</v>
      </c>
      <c r="G571" s="87" t="s">
        <v>62</v>
      </c>
      <c r="H571" s="90" t="s">
        <v>2653</v>
      </c>
      <c r="I571" s="90" t="s">
        <v>64</v>
      </c>
      <c r="J571" s="87" t="s">
        <v>70</v>
      </c>
      <c r="K571" s="87"/>
      <c r="L571" s="90" t="s">
        <v>2654</v>
      </c>
      <c r="M571" s="91">
        <v>3133734752</v>
      </c>
      <c r="N571" s="90" t="s">
        <v>2655</v>
      </c>
      <c r="O571" s="90" t="str">
        <f t="shared" si="56"/>
        <v>Distrital</v>
      </c>
      <c r="P571" s="87" t="s">
        <v>73</v>
      </c>
      <c r="Q571" s="87"/>
      <c r="R571" s="87"/>
      <c r="S571" s="87"/>
      <c r="T571" s="87"/>
      <c r="U571" s="87"/>
      <c r="V571" s="90" t="str">
        <f t="shared" si="52"/>
        <v>Distrital</v>
      </c>
      <c r="W571" s="87" t="s">
        <v>73</v>
      </c>
      <c r="X571" s="87"/>
      <c r="Y571" s="87"/>
      <c r="Z571" s="87"/>
      <c r="AA571" s="87"/>
      <c r="AB571" s="87"/>
      <c r="AC571" s="90" t="str">
        <f t="shared" si="53"/>
        <v>Distrital</v>
      </c>
      <c r="AD571" s="87" t="s">
        <v>73</v>
      </c>
      <c r="AE571" s="87"/>
      <c r="AF571" s="87"/>
      <c r="AG571" s="87"/>
      <c r="AH571" s="87"/>
      <c r="AI571" s="87"/>
      <c r="AJ571" s="87"/>
      <c r="AK571" s="87"/>
      <c r="AL571" s="87"/>
      <c r="AM571" s="87"/>
      <c r="AN571" s="90" t="s">
        <v>2656</v>
      </c>
      <c r="AO571" s="90" t="s">
        <v>2657</v>
      </c>
      <c r="AP571" s="82"/>
      <c r="AQ571" s="87" t="s">
        <v>59</v>
      </c>
      <c r="AR571" s="87" t="s">
        <v>80</v>
      </c>
      <c r="AS571" s="82"/>
      <c r="AT571" s="87">
        <v>9</v>
      </c>
      <c r="AU571" s="87">
        <v>6</v>
      </c>
      <c r="AV571" s="87">
        <f t="shared" ref="AV571" si="61">AT571+AU571</f>
        <v>15</v>
      </c>
      <c r="AW571" s="87" t="str">
        <f t="shared" si="54"/>
        <v>Ninguna</v>
      </c>
      <c r="AX571" s="87" t="s">
        <v>75</v>
      </c>
      <c r="AY571" s="87"/>
      <c r="AZ571" s="87"/>
      <c r="BA571" s="91" t="s">
        <v>2658</v>
      </c>
      <c r="BB571" s="84"/>
      <c r="BC571" s="85"/>
      <c r="BD571" s="85"/>
    </row>
    <row r="572" spans="1:56" s="86" customFormat="1" ht="46.5" customHeight="1">
      <c r="A572" s="78">
        <v>567</v>
      </c>
      <c r="B572" s="79" t="s">
        <v>2659</v>
      </c>
      <c r="C572" s="88">
        <v>45458</v>
      </c>
      <c r="D572" s="89">
        <v>0.625</v>
      </c>
      <c r="E572" s="87" t="s">
        <v>562</v>
      </c>
      <c r="F572" s="87" t="s">
        <v>1472</v>
      </c>
      <c r="G572" s="87" t="s">
        <v>62</v>
      </c>
      <c r="H572" s="90" t="s">
        <v>2660</v>
      </c>
      <c r="I572" s="90" t="s">
        <v>64</v>
      </c>
      <c r="J572" s="87" t="s">
        <v>173</v>
      </c>
      <c r="K572" s="87"/>
      <c r="L572" s="90" t="s">
        <v>2661</v>
      </c>
      <c r="M572" s="91">
        <v>3159278946</v>
      </c>
      <c r="N572" s="90" t="s">
        <v>2662</v>
      </c>
      <c r="O572" s="90" t="str">
        <f t="shared" si="56"/>
        <v>La Candelaria</v>
      </c>
      <c r="P572" s="87" t="s">
        <v>487</v>
      </c>
      <c r="Q572" s="87"/>
      <c r="R572" s="87"/>
      <c r="S572" s="87"/>
      <c r="T572" s="87"/>
      <c r="U572" s="87"/>
      <c r="V572" s="90" t="str">
        <f t="shared" si="52"/>
        <v>Centro Ampliado</v>
      </c>
      <c r="W572" s="87" t="s">
        <v>415</v>
      </c>
      <c r="X572" s="87"/>
      <c r="Y572" s="87"/>
      <c r="Z572" s="87"/>
      <c r="AA572" s="87"/>
      <c r="AB572" s="87"/>
      <c r="AC572" s="90" t="str">
        <f t="shared" si="53"/>
        <v>Centro Histórico</v>
      </c>
      <c r="AD572" s="87" t="s">
        <v>488</v>
      </c>
      <c r="AE572" s="87"/>
      <c r="AF572" s="87"/>
      <c r="AG572" s="87"/>
      <c r="AH572" s="87"/>
      <c r="AI572" s="87"/>
      <c r="AJ572" s="87"/>
      <c r="AK572" s="87"/>
      <c r="AL572" s="87"/>
      <c r="AM572" s="87"/>
      <c r="AN572" s="90" t="s">
        <v>487</v>
      </c>
      <c r="AO572" s="90" t="s">
        <v>2663</v>
      </c>
      <c r="AP572" s="82"/>
      <c r="AQ572" s="87" t="s">
        <v>59</v>
      </c>
      <c r="AR572" s="87" t="s">
        <v>80</v>
      </c>
      <c r="AS572" s="82"/>
      <c r="AT572" s="87">
        <v>145</v>
      </c>
      <c r="AU572" s="87">
        <v>5</v>
      </c>
      <c r="AV572" s="87">
        <f t="shared" si="46"/>
        <v>150</v>
      </c>
      <c r="AW572" s="87" t="str">
        <f t="shared" si="54"/>
        <v>Ninguna</v>
      </c>
      <c r="AX572" s="87" t="s">
        <v>75</v>
      </c>
      <c r="AY572" s="87"/>
      <c r="AZ572" s="87"/>
      <c r="BA572" s="91" t="s">
        <v>2664</v>
      </c>
      <c r="BB572" s="84"/>
      <c r="BC572" s="85"/>
      <c r="BD572" s="85"/>
    </row>
    <row r="573" spans="1:56" s="86" customFormat="1" ht="46.5" customHeight="1">
      <c r="A573" s="87">
        <v>568</v>
      </c>
      <c r="B573" s="79" t="s">
        <v>2665</v>
      </c>
      <c r="C573" s="88">
        <v>45460</v>
      </c>
      <c r="D573" s="89">
        <v>0.375</v>
      </c>
      <c r="E573" s="87" t="s">
        <v>58</v>
      </c>
      <c r="F573" s="87" t="s">
        <v>61</v>
      </c>
      <c r="G573" s="87" t="s">
        <v>95</v>
      </c>
      <c r="H573" s="90" t="s">
        <v>2666</v>
      </c>
      <c r="I573" s="90" t="s">
        <v>64</v>
      </c>
      <c r="J573" s="87" t="s">
        <v>70</v>
      </c>
      <c r="K573" s="87" t="s">
        <v>71</v>
      </c>
      <c r="L573" s="90" t="s">
        <v>72</v>
      </c>
      <c r="M573" s="91" t="s">
        <v>72</v>
      </c>
      <c r="N573" s="90" t="s">
        <v>72</v>
      </c>
      <c r="O573" s="90" t="str">
        <f t="shared" si="56"/>
        <v>Distrital</v>
      </c>
      <c r="P573" s="87" t="s">
        <v>73</v>
      </c>
      <c r="Q573" s="87"/>
      <c r="R573" s="87"/>
      <c r="S573" s="87"/>
      <c r="T573" s="87"/>
      <c r="U573" s="87"/>
      <c r="V573" s="90" t="str">
        <f t="shared" si="52"/>
        <v>Distrital</v>
      </c>
      <c r="W573" s="87" t="s">
        <v>73</v>
      </c>
      <c r="X573" s="87"/>
      <c r="Y573" s="87"/>
      <c r="Z573" s="87"/>
      <c r="AA573" s="87"/>
      <c r="AB573" s="87"/>
      <c r="AC573" s="90" t="str">
        <f t="shared" si="53"/>
        <v>Distrital</v>
      </c>
      <c r="AD573" s="87" t="s">
        <v>73</v>
      </c>
      <c r="AE573" s="87"/>
      <c r="AF573" s="87"/>
      <c r="AG573" s="87"/>
      <c r="AH573" s="87"/>
      <c r="AI573" s="87"/>
      <c r="AJ573" s="87"/>
      <c r="AK573" s="87"/>
      <c r="AL573" s="87"/>
      <c r="AM573" s="87"/>
      <c r="AN573" s="90" t="s">
        <v>665</v>
      </c>
      <c r="AO573" s="102" t="s">
        <v>2667</v>
      </c>
      <c r="AP573" s="82"/>
      <c r="AQ573" s="87" t="s">
        <v>60</v>
      </c>
      <c r="AR573" s="87" t="s">
        <v>77</v>
      </c>
      <c r="AS573" s="82"/>
      <c r="AT573" s="87">
        <v>60</v>
      </c>
      <c r="AU573" s="87">
        <v>15</v>
      </c>
      <c r="AV573" s="87">
        <f>AT573+AU573</f>
        <v>75</v>
      </c>
      <c r="AW573" s="87" t="str">
        <f>_xlfn.TEXTJOIN(", ",TRUE,$AX573:$AZ573)</f>
        <v>Ninguna</v>
      </c>
      <c r="AX573" s="87" t="s">
        <v>75</v>
      </c>
      <c r="AY573" s="87"/>
      <c r="AZ573" s="87"/>
      <c r="BA573" s="91" t="s">
        <v>2668</v>
      </c>
      <c r="BB573" s="84"/>
      <c r="BC573" s="85"/>
      <c r="BD573" s="85"/>
    </row>
    <row r="574" spans="1:56" s="86" customFormat="1" ht="46.5" customHeight="1">
      <c r="A574" s="78">
        <v>569</v>
      </c>
      <c r="B574" s="79" t="s">
        <v>2669</v>
      </c>
      <c r="C574" s="88">
        <v>45460</v>
      </c>
      <c r="D574" s="89">
        <v>0.75</v>
      </c>
      <c r="E574" s="87" t="s">
        <v>58</v>
      </c>
      <c r="F574" s="87" t="s">
        <v>116</v>
      </c>
      <c r="G574" s="87" t="s">
        <v>62</v>
      </c>
      <c r="H574" s="90" t="s">
        <v>2670</v>
      </c>
      <c r="I574" s="90" t="s">
        <v>118</v>
      </c>
      <c r="J574" s="87" t="s">
        <v>119</v>
      </c>
      <c r="K574" s="87" t="s">
        <v>1322</v>
      </c>
      <c r="L574" s="90" t="s">
        <v>2671</v>
      </c>
      <c r="M574" s="91">
        <v>3174393178</v>
      </c>
      <c r="N574" s="90" t="s">
        <v>72</v>
      </c>
      <c r="O574" s="90" t="str">
        <f t="shared" si="56"/>
        <v>Engativá</v>
      </c>
      <c r="P574" s="87" t="s">
        <v>123</v>
      </c>
      <c r="Q574" s="87"/>
      <c r="R574" s="87"/>
      <c r="S574" s="87"/>
      <c r="T574" s="87"/>
      <c r="U574" s="87"/>
      <c r="V574" s="90" t="str">
        <f t="shared" si="52"/>
        <v>Occidente</v>
      </c>
      <c r="W574" s="87" t="s">
        <v>124</v>
      </c>
      <c r="X574" s="87"/>
      <c r="Y574" s="87"/>
      <c r="Z574" s="87"/>
      <c r="AA574" s="87"/>
      <c r="AB574" s="87"/>
      <c r="AC574" s="90" t="str">
        <f t="shared" si="53"/>
        <v>Engativá, Tabora, Salitre</v>
      </c>
      <c r="AD574" s="87" t="s">
        <v>123</v>
      </c>
      <c r="AE574" s="87" t="s">
        <v>257</v>
      </c>
      <c r="AF574" s="87" t="s">
        <v>258</v>
      </c>
      <c r="AG574" s="87"/>
      <c r="AH574" s="87"/>
      <c r="AI574" s="87"/>
      <c r="AJ574" s="87"/>
      <c r="AK574" s="87"/>
      <c r="AL574" s="87"/>
      <c r="AM574" s="87"/>
      <c r="AN574" s="90" t="s">
        <v>2672</v>
      </c>
      <c r="AO574" s="90" t="s">
        <v>2673</v>
      </c>
      <c r="AP574" s="82"/>
      <c r="AQ574" s="87" t="s">
        <v>59</v>
      </c>
      <c r="AR574" s="87" t="s">
        <v>80</v>
      </c>
      <c r="AS574" s="82"/>
      <c r="AT574" s="87">
        <v>20</v>
      </c>
      <c r="AU574" s="87">
        <v>2</v>
      </c>
      <c r="AV574" s="87">
        <f t="shared" ref="AV574:AV578" si="62">AT574+AU574</f>
        <v>22</v>
      </c>
      <c r="AW574" s="87" t="str">
        <f t="shared" si="54"/>
        <v>Horarios Acordes</v>
      </c>
      <c r="AX574" s="87" t="s">
        <v>213</v>
      </c>
      <c r="AY574" s="87"/>
      <c r="AZ574" s="87"/>
      <c r="BA574" s="91" t="s">
        <v>2674</v>
      </c>
      <c r="BB574" s="84"/>
      <c r="BC574" s="85"/>
      <c r="BD574" s="85"/>
    </row>
    <row r="575" spans="1:56" s="86" customFormat="1" ht="46.5" customHeight="1">
      <c r="A575" s="87">
        <v>570</v>
      </c>
      <c r="B575" s="79" t="s">
        <v>2675</v>
      </c>
      <c r="C575" s="88">
        <v>45460</v>
      </c>
      <c r="D575" s="89">
        <v>0.58333333333333337</v>
      </c>
      <c r="E575" s="87" t="s">
        <v>58</v>
      </c>
      <c r="F575" s="87" t="s">
        <v>135</v>
      </c>
      <c r="G575" s="87" t="s">
        <v>62</v>
      </c>
      <c r="H575" s="90" t="s">
        <v>2676</v>
      </c>
      <c r="I575" s="90" t="s">
        <v>64</v>
      </c>
      <c r="J575" s="87" t="s">
        <v>70</v>
      </c>
      <c r="K575" s="87" t="s">
        <v>71</v>
      </c>
      <c r="L575" s="90" t="s">
        <v>72</v>
      </c>
      <c r="M575" s="90" t="s">
        <v>72</v>
      </c>
      <c r="N575" s="90" t="s">
        <v>72</v>
      </c>
      <c r="O575" s="90" t="str">
        <f t="shared" si="56"/>
        <v>Distrital</v>
      </c>
      <c r="P575" s="87" t="s">
        <v>73</v>
      </c>
      <c r="Q575" s="87"/>
      <c r="R575" s="87"/>
      <c r="S575" s="87"/>
      <c r="T575" s="87"/>
      <c r="U575" s="87"/>
      <c r="V575" s="90" t="str">
        <f t="shared" si="52"/>
        <v>Distrital</v>
      </c>
      <c r="W575" s="87" t="s">
        <v>73</v>
      </c>
      <c r="X575" s="87"/>
      <c r="Y575" s="87"/>
      <c r="Z575" s="87"/>
      <c r="AA575" s="87"/>
      <c r="AB575" s="87"/>
      <c r="AC575" s="90" t="str">
        <f t="shared" si="53"/>
        <v>Distrital</v>
      </c>
      <c r="AD575" s="87" t="s">
        <v>73</v>
      </c>
      <c r="AE575" s="87"/>
      <c r="AF575" s="87"/>
      <c r="AG575" s="87"/>
      <c r="AH575" s="87"/>
      <c r="AI575" s="87"/>
      <c r="AJ575" s="87"/>
      <c r="AK575" s="87"/>
      <c r="AL575" s="87"/>
      <c r="AM575" s="87"/>
      <c r="AN575" s="90" t="s">
        <v>160</v>
      </c>
      <c r="AO575" s="90" t="s">
        <v>2677</v>
      </c>
      <c r="AP575" s="82"/>
      <c r="AQ575" s="87" t="s">
        <v>59</v>
      </c>
      <c r="AR575" s="87" t="s">
        <v>80</v>
      </c>
      <c r="AS575" s="82"/>
      <c r="AT575" s="87">
        <v>0</v>
      </c>
      <c r="AU575" s="87">
        <v>20</v>
      </c>
      <c r="AV575" s="87">
        <f t="shared" si="62"/>
        <v>20</v>
      </c>
      <c r="AW575" s="87" t="str">
        <f t="shared" si="54"/>
        <v>Ninguna</v>
      </c>
      <c r="AX575" s="87" t="s">
        <v>75</v>
      </c>
      <c r="AY575" s="87"/>
      <c r="AZ575" s="87"/>
      <c r="BA575" s="91" t="s">
        <v>2678</v>
      </c>
      <c r="BB575" s="84"/>
      <c r="BC575" s="85"/>
      <c r="BD575" s="85"/>
    </row>
    <row r="576" spans="1:56" s="86" customFormat="1" ht="46.5" customHeight="1">
      <c r="A576" s="78">
        <v>571</v>
      </c>
      <c r="B576" s="79" t="s">
        <v>2679</v>
      </c>
      <c r="C576" s="88">
        <v>45460</v>
      </c>
      <c r="D576" s="89">
        <v>0.66666666666666663</v>
      </c>
      <c r="E576" s="87" t="s">
        <v>58</v>
      </c>
      <c r="F576" s="87" t="s">
        <v>2680</v>
      </c>
      <c r="G576" s="87" t="s">
        <v>62</v>
      </c>
      <c r="H576" s="90" t="s">
        <v>2681</v>
      </c>
      <c r="I576" s="90" t="s">
        <v>128</v>
      </c>
      <c r="J576" s="87" t="s">
        <v>119</v>
      </c>
      <c r="K576" s="87" t="s">
        <v>217</v>
      </c>
      <c r="L576" s="90" t="s">
        <v>72</v>
      </c>
      <c r="M576" s="90" t="s">
        <v>72</v>
      </c>
      <c r="N576" s="90" t="s">
        <v>72</v>
      </c>
      <c r="O576" s="90" t="str">
        <f t="shared" si="56"/>
        <v>La Candelaria</v>
      </c>
      <c r="P576" s="87" t="s">
        <v>487</v>
      </c>
      <c r="Q576" s="87"/>
      <c r="R576" s="87"/>
      <c r="S576" s="87"/>
      <c r="T576" s="87"/>
      <c r="U576" s="87"/>
      <c r="V576" s="90" t="str">
        <f t="shared" si="52"/>
        <v>Centro Ampliado</v>
      </c>
      <c r="W576" s="87" t="s">
        <v>415</v>
      </c>
      <c r="X576" s="87"/>
      <c r="Y576" s="87"/>
      <c r="Z576" s="87"/>
      <c r="AA576" s="87"/>
      <c r="AB576" s="87"/>
      <c r="AC576" s="90" t="str">
        <f t="shared" si="53"/>
        <v>Centro Histórico</v>
      </c>
      <c r="AD576" s="87" t="s">
        <v>488</v>
      </c>
      <c r="AE576" s="87"/>
      <c r="AF576" s="87"/>
      <c r="AG576" s="87"/>
      <c r="AH576" s="87"/>
      <c r="AI576" s="87"/>
      <c r="AJ576" s="87"/>
      <c r="AK576" s="87"/>
      <c r="AL576" s="87"/>
      <c r="AM576" s="87"/>
      <c r="AN576" s="90" t="s">
        <v>2682</v>
      </c>
      <c r="AO576" s="90" t="s">
        <v>2683</v>
      </c>
      <c r="AP576" s="82"/>
      <c r="AQ576" s="87" t="s">
        <v>59</v>
      </c>
      <c r="AR576" s="87" t="s">
        <v>80</v>
      </c>
      <c r="AS576" s="82"/>
      <c r="AT576" s="87">
        <v>9</v>
      </c>
      <c r="AU576" s="87">
        <v>1</v>
      </c>
      <c r="AV576" s="87">
        <f t="shared" si="62"/>
        <v>10</v>
      </c>
      <c r="AW576" s="87" t="str">
        <f t="shared" si="54"/>
        <v>Horarios Acordes</v>
      </c>
      <c r="AX576" s="87" t="s">
        <v>213</v>
      </c>
      <c r="AY576" s="87"/>
      <c r="AZ576" s="87"/>
      <c r="BA576" s="91" t="s">
        <v>2684</v>
      </c>
      <c r="BB576" s="84"/>
      <c r="BC576" s="85"/>
      <c r="BD576" s="85"/>
    </row>
    <row r="577" spans="1:56" s="86" customFormat="1" ht="46.5" customHeight="1">
      <c r="A577" s="87">
        <v>572</v>
      </c>
      <c r="B577" s="79" t="s">
        <v>1726</v>
      </c>
      <c r="C577" s="88">
        <v>45460</v>
      </c>
      <c r="D577" s="89">
        <v>0.70833333333333337</v>
      </c>
      <c r="E577" s="87" t="s">
        <v>93</v>
      </c>
      <c r="F577" s="87" t="s">
        <v>102</v>
      </c>
      <c r="G577" s="87" t="s">
        <v>95</v>
      </c>
      <c r="H577" s="90" t="s">
        <v>2685</v>
      </c>
      <c r="I577" s="90" t="s">
        <v>118</v>
      </c>
      <c r="J577" s="87" t="s">
        <v>119</v>
      </c>
      <c r="K577" s="87" t="s">
        <v>129</v>
      </c>
      <c r="L577" s="90" t="s">
        <v>1728</v>
      </c>
      <c r="M577" s="91">
        <v>3178255261</v>
      </c>
      <c r="N577" s="90" t="s">
        <v>736</v>
      </c>
      <c r="O577" s="90" t="str">
        <f t="shared" si="56"/>
        <v>Distrital</v>
      </c>
      <c r="P577" s="87" t="s">
        <v>73</v>
      </c>
      <c r="Q577" s="87"/>
      <c r="R577" s="87"/>
      <c r="S577" s="87"/>
      <c r="T577" s="87"/>
      <c r="U577" s="87"/>
      <c r="V577" s="90" t="str">
        <f t="shared" si="52"/>
        <v>Distrital</v>
      </c>
      <c r="W577" s="87" t="s">
        <v>73</v>
      </c>
      <c r="X577" s="87"/>
      <c r="Y577" s="87"/>
      <c r="Z577" s="87"/>
      <c r="AA577" s="87"/>
      <c r="AB577" s="87"/>
      <c r="AC577" s="90" t="str">
        <f t="shared" si="53"/>
        <v>Distrital</v>
      </c>
      <c r="AD577" s="87" t="s">
        <v>73</v>
      </c>
      <c r="AE577" s="87"/>
      <c r="AF577" s="87"/>
      <c r="AG577" s="87"/>
      <c r="AH577" s="87"/>
      <c r="AI577" s="87"/>
      <c r="AJ577" s="87"/>
      <c r="AK577" s="87"/>
      <c r="AL577" s="87"/>
      <c r="AM577" s="87"/>
      <c r="AN577" s="90" t="s">
        <v>160</v>
      </c>
      <c r="AO577" s="102" t="s">
        <v>2667</v>
      </c>
      <c r="AP577" s="82"/>
      <c r="AQ577" s="87" t="s">
        <v>59</v>
      </c>
      <c r="AR577" s="87" t="s">
        <v>80</v>
      </c>
      <c r="AS577" s="82"/>
      <c r="AT577" s="87">
        <v>14</v>
      </c>
      <c r="AU577" s="87">
        <v>1</v>
      </c>
      <c r="AV577" s="87">
        <f t="shared" si="62"/>
        <v>15</v>
      </c>
      <c r="AW577" s="87" t="str">
        <f t="shared" si="54"/>
        <v>Ninguna</v>
      </c>
      <c r="AX577" s="87" t="s">
        <v>75</v>
      </c>
      <c r="AY577" s="87"/>
      <c r="AZ577" s="87"/>
      <c r="BA577" s="91" t="s">
        <v>2686</v>
      </c>
      <c r="BB577" s="84"/>
      <c r="BC577" s="85"/>
      <c r="BD577" s="85"/>
    </row>
    <row r="578" spans="1:56" s="86" customFormat="1" ht="46.5" customHeight="1">
      <c r="A578" s="78">
        <v>573</v>
      </c>
      <c r="B578" s="79" t="s">
        <v>2687</v>
      </c>
      <c r="C578" s="88">
        <v>45461</v>
      </c>
      <c r="D578" s="89">
        <v>0.33333333333333331</v>
      </c>
      <c r="E578" s="87" t="s">
        <v>58</v>
      </c>
      <c r="F578" s="87" t="s">
        <v>1184</v>
      </c>
      <c r="G578" s="87" t="s">
        <v>95</v>
      </c>
      <c r="H578" s="90" t="s">
        <v>2688</v>
      </c>
      <c r="I578" s="90" t="s">
        <v>64</v>
      </c>
      <c r="J578" s="87" t="s">
        <v>70</v>
      </c>
      <c r="K578" s="87" t="s">
        <v>71</v>
      </c>
      <c r="L578" s="90" t="s">
        <v>72</v>
      </c>
      <c r="M578" s="90" t="s">
        <v>72</v>
      </c>
      <c r="N578" s="90" t="s">
        <v>72</v>
      </c>
      <c r="O578" s="90" t="str">
        <f t="shared" si="56"/>
        <v>Distrital</v>
      </c>
      <c r="P578" s="87" t="s">
        <v>73</v>
      </c>
      <c r="Q578" s="87"/>
      <c r="R578" s="87"/>
      <c r="S578" s="87"/>
      <c r="T578" s="87"/>
      <c r="U578" s="87"/>
      <c r="V578" s="90" t="str">
        <f t="shared" si="52"/>
        <v>Suroccidente</v>
      </c>
      <c r="W578" s="87" t="s">
        <v>474</v>
      </c>
      <c r="X578" s="87"/>
      <c r="Y578" s="87"/>
      <c r="Z578" s="87"/>
      <c r="AA578" s="87"/>
      <c r="AB578" s="87"/>
      <c r="AC578" s="90" t="str">
        <f t="shared" si="53"/>
        <v>Distrital</v>
      </c>
      <c r="AD578" s="87" t="s">
        <v>73</v>
      </c>
      <c r="AE578" s="87"/>
      <c r="AF578" s="87"/>
      <c r="AG578" s="87"/>
      <c r="AH578" s="87"/>
      <c r="AI578" s="87"/>
      <c r="AJ578" s="87"/>
      <c r="AK578" s="87"/>
      <c r="AL578" s="87"/>
      <c r="AM578" s="87"/>
      <c r="AN578" s="90" t="s">
        <v>2689</v>
      </c>
      <c r="AO578" s="102" t="s">
        <v>2638</v>
      </c>
      <c r="AP578" s="82"/>
      <c r="AQ578" s="87" t="s">
        <v>59</v>
      </c>
      <c r="AR578" s="87" t="s">
        <v>80</v>
      </c>
      <c r="AS578" s="82"/>
      <c r="AT578" s="87">
        <v>0</v>
      </c>
      <c r="AU578" s="87">
        <v>4</v>
      </c>
      <c r="AV578" s="87">
        <f t="shared" si="62"/>
        <v>4</v>
      </c>
      <c r="AW578" s="87" t="str">
        <f t="shared" si="54"/>
        <v>Ninguna</v>
      </c>
      <c r="AX578" s="87" t="s">
        <v>75</v>
      </c>
      <c r="AY578" s="87"/>
      <c r="AZ578" s="87"/>
      <c r="BA578" s="91" t="s">
        <v>2690</v>
      </c>
      <c r="BB578" s="84"/>
      <c r="BC578" s="85"/>
      <c r="BD578" s="85"/>
    </row>
    <row r="579" spans="1:56" s="86" customFormat="1" ht="46.5" customHeight="1">
      <c r="A579" s="87">
        <v>574</v>
      </c>
      <c r="B579" s="79" t="s">
        <v>2691</v>
      </c>
      <c r="C579" s="88">
        <v>45461</v>
      </c>
      <c r="D579" s="89">
        <v>0.375</v>
      </c>
      <c r="E579" s="87" t="s">
        <v>58</v>
      </c>
      <c r="F579" s="87" t="s">
        <v>1437</v>
      </c>
      <c r="G579" s="87" t="s">
        <v>95</v>
      </c>
      <c r="H579" s="90" t="s">
        <v>2692</v>
      </c>
      <c r="I579" s="90" t="s">
        <v>118</v>
      </c>
      <c r="J579" s="87" t="s">
        <v>173</v>
      </c>
      <c r="K579" s="87"/>
      <c r="L579" s="90" t="s">
        <v>72</v>
      </c>
      <c r="M579" s="90" t="s">
        <v>72</v>
      </c>
      <c r="N579" s="90" t="s">
        <v>72</v>
      </c>
      <c r="O579" s="90" t="str">
        <f t="shared" si="56"/>
        <v>Distrital</v>
      </c>
      <c r="P579" s="87" t="s">
        <v>73</v>
      </c>
      <c r="Q579" s="87"/>
      <c r="R579" s="87"/>
      <c r="S579" s="87"/>
      <c r="T579" s="87"/>
      <c r="U579" s="87"/>
      <c r="V579" s="90" t="str">
        <f t="shared" si="52"/>
        <v>Distrital</v>
      </c>
      <c r="W579" s="87" t="s">
        <v>73</v>
      </c>
      <c r="X579" s="87"/>
      <c r="Y579" s="87"/>
      <c r="Z579" s="87"/>
      <c r="AA579" s="87"/>
      <c r="AB579" s="87"/>
      <c r="AC579" s="90" t="str">
        <f t="shared" si="53"/>
        <v>Distrital</v>
      </c>
      <c r="AD579" s="87" t="s">
        <v>73</v>
      </c>
      <c r="AE579" s="87"/>
      <c r="AF579" s="87"/>
      <c r="AG579" s="87"/>
      <c r="AH579" s="87"/>
      <c r="AI579" s="87"/>
      <c r="AJ579" s="87"/>
      <c r="AK579" s="87"/>
      <c r="AL579" s="87"/>
      <c r="AM579" s="87"/>
      <c r="AN579" s="90" t="s">
        <v>160</v>
      </c>
      <c r="AO579" s="102" t="s">
        <v>2638</v>
      </c>
      <c r="AP579" s="82"/>
      <c r="AQ579" s="87" t="s">
        <v>59</v>
      </c>
      <c r="AR579" s="87" t="s">
        <v>80</v>
      </c>
      <c r="AS579" s="82"/>
      <c r="AT579" s="87">
        <v>4</v>
      </c>
      <c r="AU579" s="87">
        <v>5</v>
      </c>
      <c r="AV579" s="87">
        <f>AT579+AU579</f>
        <v>9</v>
      </c>
      <c r="AW579" s="87" t="str">
        <f>_xlfn.TEXTJOIN(", ",TRUE,$AX579:$AZ579)</f>
        <v>Ninguna</v>
      </c>
      <c r="AX579" s="87" t="s">
        <v>75</v>
      </c>
      <c r="AY579" s="87"/>
      <c r="AZ579" s="87"/>
      <c r="BA579" s="91" t="s">
        <v>2693</v>
      </c>
      <c r="BB579" s="84"/>
      <c r="BC579" s="85"/>
      <c r="BD579" s="85"/>
    </row>
    <row r="580" spans="1:56" s="86" customFormat="1" ht="46.5" customHeight="1">
      <c r="A580" s="78">
        <v>575</v>
      </c>
      <c r="B580" s="79" t="s">
        <v>819</v>
      </c>
      <c r="C580" s="88">
        <v>45461</v>
      </c>
      <c r="D580" s="89">
        <v>0.375</v>
      </c>
      <c r="E580" s="87" t="s">
        <v>93</v>
      </c>
      <c r="F580" s="87" t="s">
        <v>321</v>
      </c>
      <c r="G580" s="87" t="s">
        <v>62</v>
      </c>
      <c r="H580" s="90" t="s">
        <v>2694</v>
      </c>
      <c r="I580" s="90" t="s">
        <v>64</v>
      </c>
      <c r="J580" s="87" t="s">
        <v>70</v>
      </c>
      <c r="K580" s="87" t="s">
        <v>1810</v>
      </c>
      <c r="L580" s="90" t="s">
        <v>821</v>
      </c>
      <c r="M580" s="91">
        <v>3156499699</v>
      </c>
      <c r="N580" s="90" t="s">
        <v>2215</v>
      </c>
      <c r="O580" s="90" t="str">
        <f t="shared" si="56"/>
        <v>Puente Aranda</v>
      </c>
      <c r="P580" s="87" t="s">
        <v>823</v>
      </c>
      <c r="Q580" s="87"/>
      <c r="R580" s="87"/>
      <c r="S580" s="87"/>
      <c r="T580" s="87"/>
      <c r="U580" s="87"/>
      <c r="V580" s="90" t="str">
        <f t="shared" si="52"/>
        <v>Centro Ampliado</v>
      </c>
      <c r="W580" s="87" t="s">
        <v>415</v>
      </c>
      <c r="X580" s="87"/>
      <c r="Y580" s="87"/>
      <c r="Z580" s="87"/>
      <c r="AA580" s="87"/>
      <c r="AB580" s="87"/>
      <c r="AC580" s="90" t="str">
        <f t="shared" si="53"/>
        <v>Puente Aranda</v>
      </c>
      <c r="AD580" s="87" t="s">
        <v>823</v>
      </c>
      <c r="AE580" s="87"/>
      <c r="AF580" s="87"/>
      <c r="AG580" s="87"/>
      <c r="AH580" s="87"/>
      <c r="AI580" s="87"/>
      <c r="AJ580" s="87"/>
      <c r="AK580" s="87"/>
      <c r="AL580" s="87"/>
      <c r="AM580" s="87"/>
      <c r="AN580" s="90" t="s">
        <v>160</v>
      </c>
      <c r="AO580" s="92" t="s">
        <v>2524</v>
      </c>
      <c r="AP580" s="82"/>
      <c r="AQ580" s="87" t="s">
        <v>59</v>
      </c>
      <c r="AR580" s="87" t="s">
        <v>80</v>
      </c>
      <c r="AS580" s="82"/>
      <c r="AT580" s="87">
        <v>24</v>
      </c>
      <c r="AU580" s="87">
        <v>1</v>
      </c>
      <c r="AV580" s="87">
        <f t="shared" si="46"/>
        <v>25</v>
      </c>
      <c r="AW580" s="87" t="str">
        <f t="shared" si="54"/>
        <v>Ninguna</v>
      </c>
      <c r="AX580" s="87" t="s">
        <v>75</v>
      </c>
      <c r="AY580" s="87"/>
      <c r="AZ580" s="87"/>
      <c r="BA580" s="91" t="s">
        <v>2695</v>
      </c>
      <c r="BB580" s="84"/>
      <c r="BC580" s="85"/>
      <c r="BD580" s="85"/>
    </row>
    <row r="581" spans="1:56" s="86" customFormat="1" ht="46.5" customHeight="1">
      <c r="A581" s="87">
        <v>576</v>
      </c>
      <c r="B581" s="79" t="s">
        <v>2696</v>
      </c>
      <c r="C581" s="88">
        <v>45461</v>
      </c>
      <c r="D581" s="89">
        <v>0.41666666666666669</v>
      </c>
      <c r="E581" s="87" t="s">
        <v>58</v>
      </c>
      <c r="F581" s="87" t="s">
        <v>1184</v>
      </c>
      <c r="G581" s="87" t="s">
        <v>62</v>
      </c>
      <c r="H581" s="90" t="s">
        <v>2697</v>
      </c>
      <c r="I581" s="90" t="s">
        <v>64</v>
      </c>
      <c r="J581" s="87" t="s">
        <v>70</v>
      </c>
      <c r="K581" s="87" t="s">
        <v>71</v>
      </c>
      <c r="L581" s="90" t="s">
        <v>1384</v>
      </c>
      <c r="M581" s="91" t="s">
        <v>2698</v>
      </c>
      <c r="N581" s="90" t="s">
        <v>1385</v>
      </c>
      <c r="O581" s="90" t="str">
        <f t="shared" si="56"/>
        <v>Distrital</v>
      </c>
      <c r="P581" s="87" t="s">
        <v>73</v>
      </c>
      <c r="Q581" s="87"/>
      <c r="R581" s="87"/>
      <c r="S581" s="87"/>
      <c r="T581" s="87"/>
      <c r="U581" s="87"/>
      <c r="V581" s="90" t="str">
        <f t="shared" si="52"/>
        <v>Distrital</v>
      </c>
      <c r="W581" s="87" t="s">
        <v>73</v>
      </c>
      <c r="X581" s="87"/>
      <c r="Y581" s="87"/>
      <c r="Z581" s="87"/>
      <c r="AA581" s="87"/>
      <c r="AB581" s="87"/>
      <c r="AC581" s="90" t="str">
        <f t="shared" si="53"/>
        <v>Distrital</v>
      </c>
      <c r="AD581" s="87" t="s">
        <v>73</v>
      </c>
      <c r="AE581" s="87"/>
      <c r="AF581" s="87"/>
      <c r="AG581" s="87"/>
      <c r="AH581" s="87"/>
      <c r="AI581" s="87"/>
      <c r="AJ581" s="87"/>
      <c r="AK581" s="87"/>
      <c r="AL581" s="87"/>
      <c r="AM581" s="87"/>
      <c r="AN581" s="90" t="s">
        <v>160</v>
      </c>
      <c r="AO581" s="90" t="s">
        <v>2699</v>
      </c>
      <c r="AP581" s="82"/>
      <c r="AQ581" s="87" t="s">
        <v>59</v>
      </c>
      <c r="AR581" s="87" t="s">
        <v>80</v>
      </c>
      <c r="AS581" s="82"/>
      <c r="AT581" s="87">
        <v>0</v>
      </c>
      <c r="AU581" s="87">
        <v>6</v>
      </c>
      <c r="AV581" s="87">
        <f t="shared" ref="AV581" si="63">AT581+AU581</f>
        <v>6</v>
      </c>
      <c r="AW581" s="87" t="str">
        <f t="shared" si="54"/>
        <v>Ninguna</v>
      </c>
      <c r="AX581" s="87" t="s">
        <v>75</v>
      </c>
      <c r="AY581" s="87"/>
      <c r="AZ581" s="87"/>
      <c r="BA581" s="91" t="s">
        <v>2700</v>
      </c>
      <c r="BB581" s="84"/>
      <c r="BC581" s="85"/>
      <c r="BD581" s="85"/>
    </row>
    <row r="582" spans="1:56" s="86" customFormat="1" ht="46.5" customHeight="1">
      <c r="A582" s="78">
        <v>577</v>
      </c>
      <c r="B582" s="79" t="s">
        <v>2701</v>
      </c>
      <c r="C582" s="88">
        <v>45461</v>
      </c>
      <c r="D582" s="89">
        <v>0.45833333333333331</v>
      </c>
      <c r="E582" s="87" t="s">
        <v>58</v>
      </c>
      <c r="F582" s="87" t="s">
        <v>1750</v>
      </c>
      <c r="G582" s="87" t="s">
        <v>95</v>
      </c>
      <c r="H582" s="90" t="s">
        <v>2702</v>
      </c>
      <c r="I582" s="90" t="s">
        <v>118</v>
      </c>
      <c r="J582" s="87" t="s">
        <v>70</v>
      </c>
      <c r="K582" s="87" t="s">
        <v>71</v>
      </c>
      <c r="L582" s="90" t="s">
        <v>72</v>
      </c>
      <c r="M582" s="91" t="s">
        <v>72</v>
      </c>
      <c r="N582" s="90" t="s">
        <v>72</v>
      </c>
      <c r="O582" s="90" t="str">
        <f t="shared" si="56"/>
        <v>Distrital</v>
      </c>
      <c r="P582" s="87" t="s">
        <v>73</v>
      </c>
      <c r="Q582" s="87"/>
      <c r="R582" s="87"/>
      <c r="S582" s="87"/>
      <c r="T582" s="87"/>
      <c r="U582" s="87"/>
      <c r="V582" s="90" t="str">
        <f t="shared" ref="V582:V587" si="64">_xlfn.TEXTJOIN(", ",TRUE,$W582:$AB582)</f>
        <v>Distrital</v>
      </c>
      <c r="W582" s="87" t="s">
        <v>73</v>
      </c>
      <c r="X582" s="87"/>
      <c r="Y582" s="87"/>
      <c r="Z582" s="87"/>
      <c r="AA582" s="87"/>
      <c r="AB582" s="87"/>
      <c r="AC582" s="90" t="str">
        <f t="shared" ref="AC582:AC587" si="65">_xlfn.TEXTJOIN(", ",TRUE,$AD582:$AM582)</f>
        <v>Distrital</v>
      </c>
      <c r="AD582" s="87" t="s">
        <v>73</v>
      </c>
      <c r="AE582" s="87"/>
      <c r="AF582" s="87"/>
      <c r="AG582" s="87"/>
      <c r="AH582" s="87"/>
      <c r="AI582" s="87"/>
      <c r="AJ582" s="87"/>
      <c r="AK582" s="87"/>
      <c r="AL582" s="87"/>
      <c r="AM582" s="87"/>
      <c r="AN582" s="90" t="s">
        <v>160</v>
      </c>
      <c r="AO582" s="102" t="s">
        <v>2638</v>
      </c>
      <c r="AP582" s="82"/>
      <c r="AQ582" s="87" t="s">
        <v>59</v>
      </c>
      <c r="AR582" s="87" t="s">
        <v>80</v>
      </c>
      <c r="AS582" s="82"/>
      <c r="AT582" s="87">
        <v>0</v>
      </c>
      <c r="AU582" s="87">
        <v>10</v>
      </c>
      <c r="AV582" s="87">
        <f t="shared" ref="AV582:AV586" si="66">AT582+AU582</f>
        <v>10</v>
      </c>
      <c r="AW582" s="87" t="str">
        <f t="shared" si="54"/>
        <v>Ninguna</v>
      </c>
      <c r="AX582" s="87" t="s">
        <v>75</v>
      </c>
      <c r="AY582" s="87"/>
      <c r="AZ582" s="87"/>
      <c r="BA582" s="91" t="s">
        <v>2703</v>
      </c>
      <c r="BB582" s="84"/>
      <c r="BC582" s="85"/>
      <c r="BD582" s="85"/>
    </row>
    <row r="583" spans="1:56" s="86" customFormat="1" ht="46.5" customHeight="1">
      <c r="A583" s="87">
        <v>578</v>
      </c>
      <c r="B583" s="79" t="s">
        <v>2704</v>
      </c>
      <c r="C583" s="88">
        <v>45461</v>
      </c>
      <c r="D583" s="89">
        <v>0.5</v>
      </c>
      <c r="E583" s="87" t="s">
        <v>58</v>
      </c>
      <c r="F583" s="87" t="s">
        <v>2680</v>
      </c>
      <c r="G583" s="87" t="s">
        <v>62</v>
      </c>
      <c r="H583" s="90" t="s">
        <v>2705</v>
      </c>
      <c r="I583" s="90" t="s">
        <v>128</v>
      </c>
      <c r="J583" s="87" t="s">
        <v>70</v>
      </c>
      <c r="K583" s="87" t="s">
        <v>104</v>
      </c>
      <c r="L583" s="90" t="s">
        <v>72</v>
      </c>
      <c r="M583" s="91" t="s">
        <v>72</v>
      </c>
      <c r="N583" s="90" t="s">
        <v>72</v>
      </c>
      <c r="O583" s="90" t="str">
        <f t="shared" si="56"/>
        <v>Puente Aranda</v>
      </c>
      <c r="P583" s="87" t="s">
        <v>823</v>
      </c>
      <c r="Q583" s="87"/>
      <c r="R583" s="87"/>
      <c r="S583" s="87"/>
      <c r="T583" s="87"/>
      <c r="U583" s="87"/>
      <c r="V583" s="90" t="str">
        <f>_xlfn.TEXTJOIN(", ",TRUE,$W583:$AB583)</f>
        <v>Centro Ampliado</v>
      </c>
      <c r="W583" s="87" t="s">
        <v>415</v>
      </c>
      <c r="X583" s="87"/>
      <c r="Y583" s="87"/>
      <c r="Z583" s="87"/>
      <c r="AA583" s="87"/>
      <c r="AB583" s="87"/>
      <c r="AC583" s="90" t="str">
        <f>_xlfn.TEXTJOIN(", ",TRUE,$AD583:$AM583)</f>
        <v>Puente Aranda</v>
      </c>
      <c r="AD583" s="87" t="s">
        <v>823</v>
      </c>
      <c r="AE583" s="87"/>
      <c r="AF583" s="87"/>
      <c r="AG583" s="87"/>
      <c r="AH583" s="87"/>
      <c r="AI583" s="87"/>
      <c r="AJ583" s="87"/>
      <c r="AK583" s="87"/>
      <c r="AL583" s="87"/>
      <c r="AM583" s="87"/>
      <c r="AN583" s="90" t="s">
        <v>160</v>
      </c>
      <c r="AO583" s="90" t="s">
        <v>2706</v>
      </c>
      <c r="AP583" s="82"/>
      <c r="AQ583" s="87" t="s">
        <v>59</v>
      </c>
      <c r="AR583" s="87" t="s">
        <v>80</v>
      </c>
      <c r="AS583" s="82"/>
      <c r="AT583" s="87">
        <v>1</v>
      </c>
      <c r="AU583" s="87">
        <v>1</v>
      </c>
      <c r="AV583" s="87">
        <f t="shared" si="66"/>
        <v>2</v>
      </c>
      <c r="AW583" s="87" t="str">
        <f t="shared" si="54"/>
        <v>Ninguna</v>
      </c>
      <c r="AX583" s="87" t="s">
        <v>75</v>
      </c>
      <c r="AY583" s="87"/>
      <c r="AZ583" s="87"/>
      <c r="BA583" s="108" t="s">
        <v>2707</v>
      </c>
      <c r="BB583" s="84"/>
      <c r="BC583" s="85"/>
      <c r="BD583" s="85"/>
    </row>
    <row r="584" spans="1:56" s="86" customFormat="1" ht="46.5" customHeight="1">
      <c r="A584" s="78">
        <v>579</v>
      </c>
      <c r="B584" s="79" t="s">
        <v>2708</v>
      </c>
      <c r="C584" s="88">
        <v>45461</v>
      </c>
      <c r="D584" s="89">
        <v>0.52083333333333337</v>
      </c>
      <c r="E584" s="87" t="s">
        <v>58</v>
      </c>
      <c r="F584" s="87" t="s">
        <v>2680</v>
      </c>
      <c r="G584" s="87" t="s">
        <v>62</v>
      </c>
      <c r="H584" s="90" t="s">
        <v>2709</v>
      </c>
      <c r="I584" s="90" t="s">
        <v>128</v>
      </c>
      <c r="J584" s="87" t="s">
        <v>119</v>
      </c>
      <c r="K584" s="87" t="s">
        <v>217</v>
      </c>
      <c r="L584" s="90" t="s">
        <v>72</v>
      </c>
      <c r="M584" s="90" t="s">
        <v>72</v>
      </c>
      <c r="N584" s="90" t="s">
        <v>72</v>
      </c>
      <c r="O584" s="90" t="str">
        <f t="shared" si="56"/>
        <v>Antonio Nariño</v>
      </c>
      <c r="P584" s="87" t="s">
        <v>413</v>
      </c>
      <c r="Q584" s="87"/>
      <c r="R584" s="87"/>
      <c r="S584" s="87"/>
      <c r="T584" s="87"/>
      <c r="U584" s="87"/>
      <c r="V584" s="90" t="str">
        <f>_xlfn.TEXTJOIN(", ",TRUE,$W584:$AB584)</f>
        <v>Centro Ampliado</v>
      </c>
      <c r="W584" s="87" t="s">
        <v>415</v>
      </c>
      <c r="X584" s="87"/>
      <c r="Y584" s="87"/>
      <c r="Z584" s="87"/>
      <c r="AA584" s="87"/>
      <c r="AB584" s="87"/>
      <c r="AC584" s="90" t="str">
        <f>_xlfn.TEXTJOIN(", ",TRUE,$AD584:$AM584)</f>
        <v>Restrepo</v>
      </c>
      <c r="AD584" s="87" t="s">
        <v>416</v>
      </c>
      <c r="AE584" s="87"/>
      <c r="AF584" s="87"/>
      <c r="AG584" s="87"/>
      <c r="AH584" s="87"/>
      <c r="AI584" s="87"/>
      <c r="AJ584" s="87"/>
      <c r="AK584" s="87"/>
      <c r="AL584" s="87"/>
      <c r="AM584" s="87"/>
      <c r="AN584" s="90" t="s">
        <v>416</v>
      </c>
      <c r="AO584" s="90" t="s">
        <v>2710</v>
      </c>
      <c r="AP584" s="82"/>
      <c r="AQ584" s="87" t="s">
        <v>59</v>
      </c>
      <c r="AR584" s="87" t="s">
        <v>80</v>
      </c>
      <c r="AS584" s="82"/>
      <c r="AT584" s="87">
        <v>1</v>
      </c>
      <c r="AU584" s="87">
        <v>1</v>
      </c>
      <c r="AV584" s="87">
        <f t="shared" si="66"/>
        <v>2</v>
      </c>
      <c r="AW584" s="87" t="str">
        <f t="shared" si="54"/>
        <v>Horarios Acordes</v>
      </c>
      <c r="AX584" s="87" t="s">
        <v>213</v>
      </c>
      <c r="AY584" s="87"/>
      <c r="AZ584" s="87"/>
      <c r="BA584" s="91" t="s">
        <v>2711</v>
      </c>
      <c r="BB584" s="84"/>
      <c r="BC584" s="85"/>
      <c r="BD584" s="85"/>
    </row>
    <row r="585" spans="1:56" s="86" customFormat="1" ht="46.5" customHeight="1">
      <c r="A585" s="87">
        <v>580</v>
      </c>
      <c r="B585" s="79" t="s">
        <v>2712</v>
      </c>
      <c r="C585" s="88">
        <v>45461</v>
      </c>
      <c r="D585" s="89">
        <v>0.58333333333333337</v>
      </c>
      <c r="E585" s="87" t="s">
        <v>58</v>
      </c>
      <c r="F585" s="87" t="s">
        <v>116</v>
      </c>
      <c r="G585" s="87" t="s">
        <v>62</v>
      </c>
      <c r="H585" s="90" t="s">
        <v>2713</v>
      </c>
      <c r="I585" s="90" t="s">
        <v>118</v>
      </c>
      <c r="J585" s="87" t="s">
        <v>173</v>
      </c>
      <c r="K585" s="87"/>
      <c r="L585" s="90" t="s">
        <v>2714</v>
      </c>
      <c r="M585" s="91" t="s">
        <v>2715</v>
      </c>
      <c r="N585" s="90" t="s">
        <v>2152</v>
      </c>
      <c r="O585" s="90" t="str">
        <f t="shared" si="56"/>
        <v>Teusaquillo</v>
      </c>
      <c r="P585" s="87" t="s">
        <v>665</v>
      </c>
      <c r="Q585" s="87"/>
      <c r="R585" s="87"/>
      <c r="S585" s="87"/>
      <c r="T585" s="87"/>
      <c r="U585" s="87"/>
      <c r="V585" s="90" t="str">
        <f>_xlfn.TEXTJOIN(", ",TRUE,$W585:$AB585)</f>
        <v>Centro Ampliado</v>
      </c>
      <c r="W585" s="87" t="s">
        <v>415</v>
      </c>
      <c r="X585" s="87"/>
      <c r="Y585" s="87"/>
      <c r="Z585" s="87"/>
      <c r="AA585" s="87"/>
      <c r="AB585" s="87"/>
      <c r="AC585" s="90" t="str">
        <f>_xlfn.TEXTJOIN(", ",TRUE,$AD585:$AM585)</f>
        <v>Teusaquillo</v>
      </c>
      <c r="AD585" s="87" t="s">
        <v>665</v>
      </c>
      <c r="AE585" s="87"/>
      <c r="AF585" s="87"/>
      <c r="AG585" s="87"/>
      <c r="AH585" s="87"/>
      <c r="AI585" s="87"/>
      <c r="AJ585" s="87"/>
      <c r="AK585" s="87"/>
      <c r="AL585" s="87"/>
      <c r="AM585" s="87"/>
      <c r="AN585" s="90" t="s">
        <v>2716</v>
      </c>
      <c r="AO585" s="90" t="s">
        <v>2717</v>
      </c>
      <c r="AP585" s="82"/>
      <c r="AQ585" s="87" t="s">
        <v>59</v>
      </c>
      <c r="AR585" s="87" t="s">
        <v>80</v>
      </c>
      <c r="AS585" s="82"/>
      <c r="AT585" s="87">
        <v>25</v>
      </c>
      <c r="AU585" s="87">
        <v>1</v>
      </c>
      <c r="AV585" s="87">
        <f t="shared" ref="AV585" si="67">AT585+AU585</f>
        <v>26</v>
      </c>
      <c r="AW585" s="87" t="str">
        <f t="shared" si="54"/>
        <v>Ninguna</v>
      </c>
      <c r="AX585" s="87" t="s">
        <v>75</v>
      </c>
      <c r="AY585" s="87"/>
      <c r="AZ585" s="87"/>
      <c r="BA585" s="108" t="s">
        <v>2718</v>
      </c>
      <c r="BB585" s="84"/>
      <c r="BC585" s="85"/>
      <c r="BD585" s="85"/>
    </row>
    <row r="586" spans="1:56" s="86" customFormat="1" ht="46.5" customHeight="1">
      <c r="A586" s="78">
        <v>581</v>
      </c>
      <c r="B586" s="79" t="s">
        <v>2719</v>
      </c>
      <c r="C586" s="88">
        <v>45461</v>
      </c>
      <c r="D586" s="89">
        <v>0.60416666666666663</v>
      </c>
      <c r="E586" s="87" t="s">
        <v>58</v>
      </c>
      <c r="F586" s="87" t="s">
        <v>149</v>
      </c>
      <c r="G586" s="87" t="s">
        <v>62</v>
      </c>
      <c r="H586" s="90" t="s">
        <v>2720</v>
      </c>
      <c r="I586" s="90" t="s">
        <v>64</v>
      </c>
      <c r="J586" s="87" t="s">
        <v>173</v>
      </c>
      <c r="K586" s="87"/>
      <c r="L586" s="90" t="s">
        <v>72</v>
      </c>
      <c r="M586" s="90" t="s">
        <v>72</v>
      </c>
      <c r="N586" s="90" t="s">
        <v>72</v>
      </c>
      <c r="O586" s="90" t="str">
        <f t="shared" ref="O586:O617" si="68">_xlfn.TEXTJOIN(", ",TRUE,$P586:$T586)</f>
        <v>Distrital</v>
      </c>
      <c r="P586" s="87" t="s">
        <v>73</v>
      </c>
      <c r="Q586" s="87"/>
      <c r="R586" s="87"/>
      <c r="S586" s="87"/>
      <c r="T586" s="87"/>
      <c r="U586" s="87"/>
      <c r="V586" s="90" t="str">
        <f>_xlfn.TEXTJOIN(", ",TRUE,$W586:$AB586)</f>
        <v>Distrital</v>
      </c>
      <c r="W586" s="87" t="s">
        <v>73</v>
      </c>
      <c r="X586" s="87"/>
      <c r="Y586" s="87"/>
      <c r="Z586" s="87"/>
      <c r="AA586" s="87"/>
      <c r="AB586" s="87"/>
      <c r="AC586" s="90" t="str">
        <f>_xlfn.TEXTJOIN(", ",TRUE,$AD586:$AM586)</f>
        <v>Distrital</v>
      </c>
      <c r="AD586" s="87" t="s">
        <v>73</v>
      </c>
      <c r="AE586" s="87"/>
      <c r="AF586" s="87"/>
      <c r="AG586" s="87"/>
      <c r="AH586" s="87"/>
      <c r="AI586" s="87"/>
      <c r="AJ586" s="87"/>
      <c r="AK586" s="87"/>
      <c r="AL586" s="87"/>
      <c r="AM586" s="87"/>
      <c r="AN586" s="90" t="s">
        <v>160</v>
      </c>
      <c r="AO586" s="90" t="s">
        <v>2416</v>
      </c>
      <c r="AP586" s="82"/>
      <c r="AQ586" s="87" t="s">
        <v>59</v>
      </c>
      <c r="AR586" s="87" t="s">
        <v>80</v>
      </c>
      <c r="AS586" s="82"/>
      <c r="AT586" s="87">
        <v>0</v>
      </c>
      <c r="AU586" s="87">
        <v>5</v>
      </c>
      <c r="AV586" s="87">
        <f t="shared" si="66"/>
        <v>5</v>
      </c>
      <c r="AW586" s="87" t="str">
        <f t="shared" si="54"/>
        <v>Ninguna</v>
      </c>
      <c r="AX586" s="87" t="s">
        <v>75</v>
      </c>
      <c r="AY586" s="87"/>
      <c r="AZ586" s="87"/>
      <c r="BA586" s="91" t="s">
        <v>2721</v>
      </c>
      <c r="BB586" s="84"/>
      <c r="BC586" s="85"/>
      <c r="BD586" s="85"/>
    </row>
    <row r="587" spans="1:56" s="86" customFormat="1" ht="46.5" customHeight="1">
      <c r="A587" s="87">
        <v>582</v>
      </c>
      <c r="B587" s="79" t="s">
        <v>2722</v>
      </c>
      <c r="C587" s="88">
        <v>45461</v>
      </c>
      <c r="D587" s="89">
        <v>0.625</v>
      </c>
      <c r="E587" s="87" t="s">
        <v>58</v>
      </c>
      <c r="F587" s="87" t="s">
        <v>1184</v>
      </c>
      <c r="G587" s="87" t="s">
        <v>62</v>
      </c>
      <c r="H587" s="90" t="s">
        <v>2575</v>
      </c>
      <c r="I587" s="90" t="s">
        <v>64</v>
      </c>
      <c r="J587" s="87" t="s">
        <v>70</v>
      </c>
      <c r="K587" s="87" t="s">
        <v>71</v>
      </c>
      <c r="L587" s="90" t="s">
        <v>2723</v>
      </c>
      <c r="M587" s="91" t="s">
        <v>2577</v>
      </c>
      <c r="N587" s="90" t="s">
        <v>2724</v>
      </c>
      <c r="O587" s="90" t="str">
        <f t="shared" si="68"/>
        <v>Distrital</v>
      </c>
      <c r="P587" s="87" t="s">
        <v>73</v>
      </c>
      <c r="Q587" s="87"/>
      <c r="R587" s="87"/>
      <c r="S587" s="87"/>
      <c r="T587" s="87"/>
      <c r="U587" s="87"/>
      <c r="V587" s="90" t="str">
        <f t="shared" si="64"/>
        <v>Distrital</v>
      </c>
      <c r="W587" s="87" t="s">
        <v>73</v>
      </c>
      <c r="X587" s="87"/>
      <c r="Y587" s="87"/>
      <c r="Z587" s="87"/>
      <c r="AA587" s="87"/>
      <c r="AB587" s="87"/>
      <c r="AC587" s="90" t="str">
        <f t="shared" si="65"/>
        <v>Distrital</v>
      </c>
      <c r="AD587" s="87" t="s">
        <v>73</v>
      </c>
      <c r="AE587" s="87"/>
      <c r="AF587" s="87"/>
      <c r="AG587" s="87"/>
      <c r="AH587" s="87"/>
      <c r="AI587" s="87"/>
      <c r="AJ587" s="87"/>
      <c r="AK587" s="87"/>
      <c r="AL587" s="87"/>
      <c r="AM587" s="87"/>
      <c r="AN587" s="90" t="s">
        <v>160</v>
      </c>
      <c r="AO587" s="109" t="s">
        <v>2725</v>
      </c>
      <c r="AP587" s="82"/>
      <c r="AQ587" s="87" t="s">
        <v>59</v>
      </c>
      <c r="AR587" s="87" t="s">
        <v>80</v>
      </c>
      <c r="AS587" s="82"/>
      <c r="AT587" s="87">
        <v>0</v>
      </c>
      <c r="AU587" s="87">
        <v>4</v>
      </c>
      <c r="AV587" s="87">
        <f t="shared" ref="AV587:AV588" si="69">AT587+AU587</f>
        <v>4</v>
      </c>
      <c r="AW587" s="87" t="str">
        <f t="shared" si="54"/>
        <v>Ninguna</v>
      </c>
      <c r="AX587" s="87" t="s">
        <v>75</v>
      </c>
      <c r="AY587" s="87"/>
      <c r="AZ587" s="87"/>
      <c r="BA587" s="91" t="s">
        <v>2726</v>
      </c>
      <c r="BB587" s="84"/>
      <c r="BC587" s="85"/>
      <c r="BD587" s="85"/>
    </row>
    <row r="588" spans="1:56" s="86" customFormat="1" ht="46.5" customHeight="1">
      <c r="A588" s="78">
        <v>583</v>
      </c>
      <c r="B588" s="79" t="s">
        <v>437</v>
      </c>
      <c r="C588" s="88">
        <v>45461</v>
      </c>
      <c r="D588" s="89">
        <v>0.70833333333333337</v>
      </c>
      <c r="E588" s="87" t="s">
        <v>93</v>
      </c>
      <c r="F588" s="87" t="s">
        <v>102</v>
      </c>
      <c r="G588" s="87" t="s">
        <v>95</v>
      </c>
      <c r="H588" s="90" t="s">
        <v>2727</v>
      </c>
      <c r="I588" s="90" t="s">
        <v>118</v>
      </c>
      <c r="J588" s="87" t="s">
        <v>119</v>
      </c>
      <c r="K588" s="87" t="s">
        <v>129</v>
      </c>
      <c r="L588" s="90" t="s">
        <v>2728</v>
      </c>
      <c r="M588" s="91" t="s">
        <v>2729</v>
      </c>
      <c r="N588" s="90" t="s">
        <v>692</v>
      </c>
      <c r="O588" s="90" t="str">
        <f t="shared" si="68"/>
        <v>Distrital</v>
      </c>
      <c r="P588" s="87" t="s">
        <v>73</v>
      </c>
      <c r="Q588" s="87"/>
      <c r="R588" s="87"/>
      <c r="S588" s="87"/>
      <c r="T588" s="87"/>
      <c r="U588" s="87"/>
      <c r="V588" s="90" t="str">
        <f t="shared" ref="V588:V620" si="70">_xlfn.TEXTJOIN(", ",TRUE,$W588:$AB588)</f>
        <v>Distrital</v>
      </c>
      <c r="W588" s="87" t="s">
        <v>73</v>
      </c>
      <c r="X588" s="87"/>
      <c r="Y588" s="87"/>
      <c r="Z588" s="87"/>
      <c r="AA588" s="87"/>
      <c r="AB588" s="87"/>
      <c r="AC588" s="90" t="str">
        <f t="shared" ref="AC588:AC620" si="71">_xlfn.TEXTJOIN(", ",TRUE,$AD588:$AM588)</f>
        <v>Distrital</v>
      </c>
      <c r="AD588" s="87" t="s">
        <v>73</v>
      </c>
      <c r="AE588" s="87"/>
      <c r="AF588" s="87"/>
      <c r="AG588" s="87"/>
      <c r="AH588" s="87"/>
      <c r="AI588" s="87"/>
      <c r="AJ588" s="87"/>
      <c r="AK588" s="87"/>
      <c r="AL588" s="87"/>
      <c r="AM588" s="87"/>
      <c r="AN588" s="90" t="s">
        <v>160</v>
      </c>
      <c r="AO588" s="102" t="s">
        <v>2638</v>
      </c>
      <c r="AP588" s="82"/>
      <c r="AQ588" s="87" t="s">
        <v>59</v>
      </c>
      <c r="AR588" s="87" t="s">
        <v>80</v>
      </c>
      <c r="AS588" s="82"/>
      <c r="AT588" s="87">
        <v>2</v>
      </c>
      <c r="AU588" s="87">
        <v>2</v>
      </c>
      <c r="AV588" s="87">
        <f t="shared" si="69"/>
        <v>4</v>
      </c>
      <c r="AW588" s="87" t="str">
        <f t="shared" si="54"/>
        <v>Ninguna</v>
      </c>
      <c r="AX588" s="87" t="s">
        <v>75</v>
      </c>
      <c r="AY588" s="87"/>
      <c r="AZ588" s="87"/>
      <c r="BA588" s="91" t="s">
        <v>2730</v>
      </c>
      <c r="BB588" s="84"/>
      <c r="BC588" s="85"/>
      <c r="BD588" s="85"/>
    </row>
    <row r="589" spans="1:56" s="86" customFormat="1" ht="46.5" customHeight="1">
      <c r="A589" s="87">
        <v>584</v>
      </c>
      <c r="B589" s="79" t="s">
        <v>2731</v>
      </c>
      <c r="C589" s="88">
        <v>45462</v>
      </c>
      <c r="D589" s="89" t="s">
        <v>2732</v>
      </c>
      <c r="E589" s="87" t="s">
        <v>58</v>
      </c>
      <c r="F589" s="87" t="s">
        <v>1142</v>
      </c>
      <c r="G589" s="87" t="s">
        <v>62</v>
      </c>
      <c r="H589" s="90" t="s">
        <v>2733</v>
      </c>
      <c r="I589" s="90" t="s">
        <v>64</v>
      </c>
      <c r="J589" s="87" t="s">
        <v>70</v>
      </c>
      <c r="K589" s="87" t="s">
        <v>71</v>
      </c>
      <c r="L589" s="90" t="s">
        <v>72</v>
      </c>
      <c r="M589" s="91" t="s">
        <v>72</v>
      </c>
      <c r="N589" s="90" t="s">
        <v>72</v>
      </c>
      <c r="O589" s="90" t="str">
        <f t="shared" si="68"/>
        <v>Distrital</v>
      </c>
      <c r="P589" s="87" t="s">
        <v>73</v>
      </c>
      <c r="Q589" s="87"/>
      <c r="R589" s="87"/>
      <c r="S589" s="87"/>
      <c r="T589" s="87"/>
      <c r="U589" s="87"/>
      <c r="V589" s="90" t="str">
        <f t="shared" si="70"/>
        <v>Distrital</v>
      </c>
      <c r="W589" s="87" t="s">
        <v>73</v>
      </c>
      <c r="X589" s="87"/>
      <c r="Y589" s="87"/>
      <c r="Z589" s="87"/>
      <c r="AA589" s="87"/>
      <c r="AB589" s="87"/>
      <c r="AC589" s="90" t="str">
        <f t="shared" si="71"/>
        <v>Distrital</v>
      </c>
      <c r="AD589" s="87" t="s">
        <v>73</v>
      </c>
      <c r="AE589" s="87"/>
      <c r="AF589" s="87"/>
      <c r="AG589" s="87"/>
      <c r="AH589" s="87"/>
      <c r="AI589" s="87"/>
      <c r="AJ589" s="87"/>
      <c r="AK589" s="87"/>
      <c r="AL589" s="87"/>
      <c r="AM589" s="87"/>
      <c r="AN589" s="90" t="s">
        <v>160</v>
      </c>
      <c r="AO589" s="90" t="s">
        <v>2734</v>
      </c>
      <c r="AP589" s="82"/>
      <c r="AQ589" s="87" t="s">
        <v>59</v>
      </c>
      <c r="AR589" s="87" t="s">
        <v>80</v>
      </c>
      <c r="AS589" s="82"/>
      <c r="AT589" s="87">
        <v>45</v>
      </c>
      <c r="AU589" s="87">
        <v>3</v>
      </c>
      <c r="AV589" s="87">
        <f t="shared" ref="AV589:AV592" si="72">AT589+AU589</f>
        <v>48</v>
      </c>
      <c r="AW589" s="87" t="str">
        <f t="shared" si="54"/>
        <v>Ninguna</v>
      </c>
      <c r="AX589" s="87" t="s">
        <v>75</v>
      </c>
      <c r="AY589" s="87"/>
      <c r="AZ589" s="87"/>
      <c r="BA589" s="91" t="s">
        <v>2735</v>
      </c>
      <c r="BB589" s="84"/>
      <c r="BC589" s="85"/>
      <c r="BD589" s="85"/>
    </row>
    <row r="590" spans="1:56" s="86" customFormat="1" ht="46.5" customHeight="1">
      <c r="A590" s="78">
        <v>585</v>
      </c>
      <c r="B590" s="79" t="s">
        <v>2736</v>
      </c>
      <c r="C590" s="88">
        <v>45462</v>
      </c>
      <c r="D590" s="89">
        <v>0.375</v>
      </c>
      <c r="E590" s="87" t="s">
        <v>58</v>
      </c>
      <c r="F590" s="87" t="s">
        <v>1184</v>
      </c>
      <c r="G590" s="87" t="s">
        <v>62</v>
      </c>
      <c r="H590" s="90" t="s">
        <v>2737</v>
      </c>
      <c r="I590" s="90" t="s">
        <v>64</v>
      </c>
      <c r="J590" s="87" t="s">
        <v>70</v>
      </c>
      <c r="K590" s="87" t="s">
        <v>71</v>
      </c>
      <c r="L590" s="90" t="s">
        <v>2738</v>
      </c>
      <c r="M590" s="91" t="s">
        <v>2559</v>
      </c>
      <c r="N590" s="90" t="s">
        <v>2560</v>
      </c>
      <c r="O590" s="90" t="str">
        <f t="shared" si="68"/>
        <v>Distrital</v>
      </c>
      <c r="P590" s="87" t="s">
        <v>73</v>
      </c>
      <c r="Q590" s="87"/>
      <c r="R590" s="87"/>
      <c r="S590" s="87"/>
      <c r="T590" s="87"/>
      <c r="U590" s="87"/>
      <c r="V590" s="90" t="str">
        <f t="shared" si="70"/>
        <v>Distrital</v>
      </c>
      <c r="W590" s="87" t="s">
        <v>73</v>
      </c>
      <c r="X590" s="87"/>
      <c r="Y590" s="87"/>
      <c r="Z590" s="87"/>
      <c r="AA590" s="87"/>
      <c r="AB590" s="87"/>
      <c r="AC590" s="90" t="str">
        <f t="shared" si="71"/>
        <v>Distrital</v>
      </c>
      <c r="AD590" s="87" t="s">
        <v>73</v>
      </c>
      <c r="AE590" s="87"/>
      <c r="AF590" s="87"/>
      <c r="AG590" s="87"/>
      <c r="AH590" s="87"/>
      <c r="AI590" s="87"/>
      <c r="AJ590" s="87"/>
      <c r="AK590" s="87"/>
      <c r="AL590" s="87"/>
      <c r="AM590" s="87"/>
      <c r="AN590" s="90" t="s">
        <v>160</v>
      </c>
      <c r="AO590" s="109" t="s">
        <v>2739</v>
      </c>
      <c r="AP590" s="82"/>
      <c r="AQ590" s="87" t="s">
        <v>59</v>
      </c>
      <c r="AR590" s="87" t="s">
        <v>80</v>
      </c>
      <c r="AS590" s="82"/>
      <c r="AT590" s="87">
        <v>7</v>
      </c>
      <c r="AU590" s="87">
        <v>10</v>
      </c>
      <c r="AV590" s="87">
        <f t="shared" si="72"/>
        <v>17</v>
      </c>
      <c r="AW590" s="87" t="str">
        <f t="shared" si="54"/>
        <v>Ninguna</v>
      </c>
      <c r="AX590" s="87" t="s">
        <v>75</v>
      </c>
      <c r="AY590" s="87"/>
      <c r="AZ590" s="87"/>
      <c r="BA590" s="91" t="s">
        <v>2740</v>
      </c>
      <c r="BB590" s="84"/>
      <c r="BC590" s="85"/>
      <c r="BD590" s="85"/>
    </row>
    <row r="591" spans="1:56" s="86" customFormat="1" ht="46.5" customHeight="1">
      <c r="A591" s="87">
        <v>586</v>
      </c>
      <c r="B591" s="79" t="s">
        <v>668</v>
      </c>
      <c r="C591" s="88">
        <v>45462</v>
      </c>
      <c r="D591" s="89">
        <v>0.375</v>
      </c>
      <c r="E591" s="87" t="s">
        <v>93</v>
      </c>
      <c r="F591" s="87" t="s">
        <v>321</v>
      </c>
      <c r="G591" s="87" t="s">
        <v>62</v>
      </c>
      <c r="H591" s="90" t="s">
        <v>2741</v>
      </c>
      <c r="I591" s="90" t="s">
        <v>64</v>
      </c>
      <c r="J591" s="87" t="s">
        <v>70</v>
      </c>
      <c r="K591" s="87" t="s">
        <v>1810</v>
      </c>
      <c r="L591" s="90" t="s">
        <v>2742</v>
      </c>
      <c r="M591" s="91" t="s">
        <v>2743</v>
      </c>
      <c r="N591" s="90" t="s">
        <v>2744</v>
      </c>
      <c r="O591" s="90" t="str">
        <f t="shared" si="68"/>
        <v>Usme</v>
      </c>
      <c r="P591" s="87" t="s">
        <v>670</v>
      </c>
      <c r="Q591" s="87"/>
      <c r="R591" s="87"/>
      <c r="S591" s="87"/>
      <c r="T591" s="87"/>
      <c r="U591" s="87"/>
      <c r="V591" s="90" t="str">
        <f t="shared" si="70"/>
        <v>Suroriente, Ruralidad</v>
      </c>
      <c r="W591" s="87" t="s">
        <v>108</v>
      </c>
      <c r="X591" s="87" t="s">
        <v>109</v>
      </c>
      <c r="Y591" s="87"/>
      <c r="Z591" s="87"/>
      <c r="AA591" s="87"/>
      <c r="AB591" s="87"/>
      <c r="AC591" s="90" t="str">
        <f t="shared" si="71"/>
        <v>Usme Entrenubes, Cerros Orientales, Rafael Uribe, Cuenca del Tunjuelo</v>
      </c>
      <c r="AD591" s="87" t="s">
        <v>671</v>
      </c>
      <c r="AE591" s="87" t="s">
        <v>222</v>
      </c>
      <c r="AF591" s="87" t="s">
        <v>467</v>
      </c>
      <c r="AG591" s="87" t="s">
        <v>112</v>
      </c>
      <c r="AH591" s="87"/>
      <c r="AI591" s="87"/>
      <c r="AJ591" s="87"/>
      <c r="AK591" s="87"/>
      <c r="AL591" s="87"/>
      <c r="AM591" s="87"/>
      <c r="AN591" s="90" t="s">
        <v>160</v>
      </c>
      <c r="AO591" s="90" t="s">
        <v>2745</v>
      </c>
      <c r="AP591" s="82"/>
      <c r="AQ591" s="87" t="s">
        <v>59</v>
      </c>
      <c r="AR591" s="87" t="s">
        <v>80</v>
      </c>
      <c r="AS591" s="82"/>
      <c r="AT591" s="87">
        <v>18</v>
      </c>
      <c r="AU591" s="87">
        <v>1</v>
      </c>
      <c r="AV591" s="87">
        <f t="shared" si="72"/>
        <v>19</v>
      </c>
      <c r="AW591" s="87" t="str">
        <f t="shared" si="54"/>
        <v>Ninguna</v>
      </c>
      <c r="AX591" s="87" t="s">
        <v>75</v>
      </c>
      <c r="AY591" s="87"/>
      <c r="AZ591" s="87"/>
      <c r="BA591" s="91" t="s">
        <v>2746</v>
      </c>
      <c r="BB591" s="84"/>
      <c r="BC591" s="85"/>
      <c r="BD591" s="85"/>
    </row>
    <row r="592" spans="1:56" s="86" customFormat="1" ht="46.5" customHeight="1">
      <c r="A592" s="78">
        <v>587</v>
      </c>
      <c r="B592" s="79" t="s">
        <v>2747</v>
      </c>
      <c r="C592" s="88">
        <v>45462</v>
      </c>
      <c r="D592" s="89">
        <v>0.4375</v>
      </c>
      <c r="E592" s="87" t="s">
        <v>58</v>
      </c>
      <c r="F592" s="87" t="s">
        <v>2680</v>
      </c>
      <c r="G592" s="87" t="s">
        <v>62</v>
      </c>
      <c r="H592" s="90" t="s">
        <v>2681</v>
      </c>
      <c r="I592" s="90" t="s">
        <v>64</v>
      </c>
      <c r="J592" s="87" t="s">
        <v>119</v>
      </c>
      <c r="K592" s="87" t="s">
        <v>217</v>
      </c>
      <c r="L592" s="90" t="s">
        <v>2748</v>
      </c>
      <c r="M592" s="91" t="s">
        <v>2749</v>
      </c>
      <c r="N592" s="90" t="s">
        <v>72</v>
      </c>
      <c r="O592" s="90" t="str">
        <f t="shared" si="68"/>
        <v>Santa Fe</v>
      </c>
      <c r="P592" s="87" t="s">
        <v>541</v>
      </c>
      <c r="Q592" s="87"/>
      <c r="R592" s="87"/>
      <c r="S592" s="87"/>
      <c r="T592" s="87"/>
      <c r="U592" s="87"/>
      <c r="V592" s="90" t="str">
        <f t="shared" si="70"/>
        <v>Centro Ampliado, Ruralidad</v>
      </c>
      <c r="W592" s="87" t="s">
        <v>415</v>
      </c>
      <c r="X592" s="87" t="s">
        <v>109</v>
      </c>
      <c r="Y592" s="87"/>
      <c r="Z592" s="87"/>
      <c r="AA592" s="87"/>
      <c r="AB592" s="87"/>
      <c r="AC592" s="90" t="str">
        <f t="shared" si="71"/>
        <v>Centro Histórico, Cerros Orientales</v>
      </c>
      <c r="AD592" s="87" t="s">
        <v>488</v>
      </c>
      <c r="AE592" s="87" t="s">
        <v>222</v>
      </c>
      <c r="AF592" s="87"/>
      <c r="AG592" s="87"/>
      <c r="AH592" s="87"/>
      <c r="AI592" s="87"/>
      <c r="AJ592" s="87"/>
      <c r="AK592" s="87"/>
      <c r="AL592" s="87"/>
      <c r="AM592" s="87"/>
      <c r="AN592" s="90" t="s">
        <v>160</v>
      </c>
      <c r="AO592" s="90" t="s">
        <v>2750</v>
      </c>
      <c r="AP592" s="82"/>
      <c r="AQ592" s="87" t="s">
        <v>59</v>
      </c>
      <c r="AR592" s="87" t="s">
        <v>80</v>
      </c>
      <c r="AS592" s="82"/>
      <c r="AT592" s="87">
        <v>3</v>
      </c>
      <c r="AU592" s="87">
        <v>1</v>
      </c>
      <c r="AV592" s="87">
        <f t="shared" si="72"/>
        <v>4</v>
      </c>
      <c r="AW592" s="87" t="str">
        <f t="shared" si="54"/>
        <v>Ninguna</v>
      </c>
      <c r="AX592" s="87" t="s">
        <v>75</v>
      </c>
      <c r="AY592" s="87"/>
      <c r="AZ592" s="87"/>
      <c r="BA592" s="91" t="s">
        <v>2751</v>
      </c>
      <c r="BB592" s="84"/>
      <c r="BC592" s="85"/>
      <c r="BD592" s="85"/>
    </row>
    <row r="593" spans="1:56" s="86" customFormat="1" ht="46.5" customHeight="1">
      <c r="A593" s="87">
        <v>588</v>
      </c>
      <c r="B593" s="79" t="s">
        <v>1561</v>
      </c>
      <c r="C593" s="88">
        <v>45462</v>
      </c>
      <c r="D593" s="89">
        <v>0.58333333333333337</v>
      </c>
      <c r="E593" s="87" t="s">
        <v>93</v>
      </c>
      <c r="F593" s="87" t="s">
        <v>321</v>
      </c>
      <c r="G593" s="87" t="s">
        <v>62</v>
      </c>
      <c r="H593" s="90" t="s">
        <v>1562</v>
      </c>
      <c r="I593" s="90" t="s">
        <v>64</v>
      </c>
      <c r="J593" s="87" t="s">
        <v>70</v>
      </c>
      <c r="K593" s="87" t="s">
        <v>1810</v>
      </c>
      <c r="L593" s="90" t="s">
        <v>2752</v>
      </c>
      <c r="M593" s="91" t="s">
        <v>2753</v>
      </c>
      <c r="N593" s="90" t="s">
        <v>2476</v>
      </c>
      <c r="O593" s="90" t="str">
        <f t="shared" si="68"/>
        <v>Kennedy</v>
      </c>
      <c r="P593" s="87" t="s">
        <v>473</v>
      </c>
      <c r="Q593" s="87"/>
      <c r="R593" s="87"/>
      <c r="S593" s="87"/>
      <c r="T593" s="87"/>
      <c r="U593" s="87"/>
      <c r="V593" s="90" t="str">
        <f t="shared" si="70"/>
        <v>Suroccidente</v>
      </c>
      <c r="W593" s="87" t="s">
        <v>474</v>
      </c>
      <c r="X593" s="87"/>
      <c r="Y593" s="87"/>
      <c r="Z593" s="87"/>
      <c r="AA593" s="87"/>
      <c r="AB593" s="87"/>
      <c r="AC593" s="90" t="str">
        <f t="shared" si="71"/>
        <v>Kennedy, Tintal, Bosa, Edén, Patio Bonito, Porvenir</v>
      </c>
      <c r="AD593" s="87" t="s">
        <v>473</v>
      </c>
      <c r="AE593" s="87" t="s">
        <v>1134</v>
      </c>
      <c r="AF593" s="87" t="s">
        <v>472</v>
      </c>
      <c r="AG593" s="87" t="s">
        <v>704</v>
      </c>
      <c r="AH593" s="87" t="s">
        <v>639</v>
      </c>
      <c r="AI593" s="87" t="s">
        <v>705</v>
      </c>
      <c r="AJ593" s="87"/>
      <c r="AK593" s="87"/>
      <c r="AL593" s="87"/>
      <c r="AM593" s="87"/>
      <c r="AN593" s="90" t="s">
        <v>160</v>
      </c>
      <c r="AO593" s="90" t="s">
        <v>2754</v>
      </c>
      <c r="AP593" s="82"/>
      <c r="AQ593" s="87" t="s">
        <v>59</v>
      </c>
      <c r="AR593" s="87" t="s">
        <v>80</v>
      </c>
      <c r="AS593" s="82"/>
      <c r="AT593" s="87">
        <v>12</v>
      </c>
      <c r="AU593" s="87">
        <v>1</v>
      </c>
      <c r="AV593" s="87">
        <f>AT593+AU593</f>
        <v>13</v>
      </c>
      <c r="AW593" s="87" t="str">
        <f>_xlfn.TEXTJOIN(", ",TRUE,$AX593:$AZ593)</f>
        <v>Ninguna</v>
      </c>
      <c r="AX593" s="87" t="s">
        <v>75</v>
      </c>
      <c r="AY593" s="87"/>
      <c r="AZ593" s="87"/>
      <c r="BA593" s="91" t="s">
        <v>2755</v>
      </c>
      <c r="BB593" s="84"/>
      <c r="BC593" s="85"/>
      <c r="BD593" s="85"/>
    </row>
    <row r="594" spans="1:56" s="86" customFormat="1" ht="46.5" customHeight="1">
      <c r="A594" s="78">
        <v>589</v>
      </c>
      <c r="B594" s="79" t="s">
        <v>2756</v>
      </c>
      <c r="C594" s="88">
        <v>45462</v>
      </c>
      <c r="D594" s="89">
        <v>0.60416666666666663</v>
      </c>
      <c r="E594" s="87" t="s">
        <v>58</v>
      </c>
      <c r="F594" s="87" t="s">
        <v>135</v>
      </c>
      <c r="G594" s="87" t="s">
        <v>62</v>
      </c>
      <c r="H594" s="90" t="s">
        <v>2757</v>
      </c>
      <c r="I594" s="90" t="s">
        <v>64</v>
      </c>
      <c r="J594" s="87" t="s">
        <v>173</v>
      </c>
      <c r="K594" s="87"/>
      <c r="L594" s="90" t="s">
        <v>2758</v>
      </c>
      <c r="M594" s="91" t="s">
        <v>2759</v>
      </c>
      <c r="N594" s="90" t="s">
        <v>2760</v>
      </c>
      <c r="O594" s="90" t="str">
        <f t="shared" si="68"/>
        <v>Suba</v>
      </c>
      <c r="P594" s="87" t="s">
        <v>394</v>
      </c>
      <c r="Q594" s="87"/>
      <c r="R594" s="87"/>
      <c r="S594" s="87"/>
      <c r="T594" s="87"/>
      <c r="U594" s="87"/>
      <c r="V594" s="90" t="str">
        <f t="shared" si="70"/>
        <v>Norte</v>
      </c>
      <c r="W594" s="87" t="s">
        <v>429</v>
      </c>
      <c r="X594" s="87"/>
      <c r="Y594" s="87"/>
      <c r="Z594" s="87"/>
      <c r="AA594" s="87"/>
      <c r="AB594" s="87"/>
      <c r="AC594" s="90" t="str">
        <f t="shared" si="71"/>
        <v>Niza, Suba, Suba Rincón, Tibabuyes, Britalia, Torca</v>
      </c>
      <c r="AD594" s="87" t="s">
        <v>571</v>
      </c>
      <c r="AE594" s="87" t="s">
        <v>394</v>
      </c>
      <c r="AF594" s="87" t="s">
        <v>396</v>
      </c>
      <c r="AG594" s="87" t="s">
        <v>924</v>
      </c>
      <c r="AH594" s="87" t="s">
        <v>876</v>
      </c>
      <c r="AI594" s="87" t="s">
        <v>528</v>
      </c>
      <c r="AJ594" s="87"/>
      <c r="AK594" s="87"/>
      <c r="AL594" s="87"/>
      <c r="AM594" s="87"/>
      <c r="AN594" s="90" t="s">
        <v>160</v>
      </c>
      <c r="AO594" s="90" t="s">
        <v>2761</v>
      </c>
      <c r="AP594" s="82"/>
      <c r="AQ594" s="87" t="s">
        <v>59</v>
      </c>
      <c r="AR594" s="87" t="s">
        <v>80</v>
      </c>
      <c r="AS594" s="82"/>
      <c r="AT594" s="87">
        <v>26</v>
      </c>
      <c r="AU594" s="87">
        <v>4</v>
      </c>
      <c r="AV594" s="87">
        <f t="shared" ref="AV594" si="73">AT594+AU594</f>
        <v>30</v>
      </c>
      <c r="AW594" s="87" t="str">
        <f t="shared" si="54"/>
        <v>Ninguna</v>
      </c>
      <c r="AX594" s="87" t="s">
        <v>75</v>
      </c>
      <c r="AY594" s="87"/>
      <c r="AZ594" s="87"/>
      <c r="BA594" s="91" t="s">
        <v>2762</v>
      </c>
      <c r="BB594" s="84"/>
      <c r="BC594" s="85"/>
      <c r="BD594" s="85"/>
    </row>
    <row r="595" spans="1:56" s="86" customFormat="1" ht="46.5" customHeight="1">
      <c r="A595" s="87">
        <v>590</v>
      </c>
      <c r="B595" s="79" t="s">
        <v>2763</v>
      </c>
      <c r="C595" s="88">
        <v>45462</v>
      </c>
      <c r="D595" s="89">
        <v>0.625</v>
      </c>
      <c r="E595" s="87" t="s">
        <v>58</v>
      </c>
      <c r="F595" s="87" t="s">
        <v>1184</v>
      </c>
      <c r="G595" s="87" t="s">
        <v>95</v>
      </c>
      <c r="H595" s="90" t="s">
        <v>2764</v>
      </c>
      <c r="I595" s="90" t="s">
        <v>64</v>
      </c>
      <c r="J595" s="87" t="s">
        <v>70</v>
      </c>
      <c r="K595" s="87" t="s">
        <v>71</v>
      </c>
      <c r="L595" s="90" t="s">
        <v>2441</v>
      </c>
      <c r="M595" s="91" t="s">
        <v>2765</v>
      </c>
      <c r="N595" s="90" t="s">
        <v>2016</v>
      </c>
      <c r="O595" s="90" t="str">
        <f t="shared" si="68"/>
        <v>Distrital</v>
      </c>
      <c r="P595" s="87" t="s">
        <v>73</v>
      </c>
      <c r="Q595" s="87"/>
      <c r="R595" s="87"/>
      <c r="S595" s="87"/>
      <c r="T595" s="87"/>
      <c r="U595" s="87"/>
      <c r="V595" s="90" t="str">
        <f t="shared" si="70"/>
        <v>Distrital</v>
      </c>
      <c r="W595" s="87" t="s">
        <v>73</v>
      </c>
      <c r="X595" s="87"/>
      <c r="Y595" s="87"/>
      <c r="Z595" s="87"/>
      <c r="AA595" s="87"/>
      <c r="AB595" s="87"/>
      <c r="AC595" s="90" t="str">
        <f t="shared" si="71"/>
        <v>Distrital</v>
      </c>
      <c r="AD595" s="87" t="s">
        <v>73</v>
      </c>
      <c r="AE595" s="87"/>
      <c r="AF595" s="87"/>
      <c r="AG595" s="87"/>
      <c r="AH595" s="87"/>
      <c r="AI595" s="87"/>
      <c r="AJ595" s="87"/>
      <c r="AK595" s="87"/>
      <c r="AL595" s="87"/>
      <c r="AM595" s="87"/>
      <c r="AN595" s="90" t="s">
        <v>160</v>
      </c>
      <c r="AO595" s="102" t="s">
        <v>2638</v>
      </c>
      <c r="AP595" s="82"/>
      <c r="AQ595" s="87" t="s">
        <v>59</v>
      </c>
      <c r="AR595" s="87" t="s">
        <v>80</v>
      </c>
      <c r="AS595" s="82"/>
      <c r="AT595" s="87">
        <v>0</v>
      </c>
      <c r="AU595" s="87">
        <v>7</v>
      </c>
      <c r="AV595" s="87">
        <f>AT595+AU595</f>
        <v>7</v>
      </c>
      <c r="AW595" s="87" t="str">
        <f>_xlfn.TEXTJOIN(", ",TRUE,$AX595:$AZ595)</f>
        <v>Ninguna</v>
      </c>
      <c r="AX595" s="87" t="s">
        <v>75</v>
      </c>
      <c r="AY595" s="87"/>
      <c r="AZ595" s="87"/>
      <c r="BA595" s="91" t="s">
        <v>2766</v>
      </c>
      <c r="BB595" s="84"/>
      <c r="BC595" s="85"/>
      <c r="BD595" s="85"/>
    </row>
    <row r="596" spans="1:56" s="86" customFormat="1" ht="46.5" customHeight="1">
      <c r="A596" s="78">
        <v>591</v>
      </c>
      <c r="B596" s="79" t="s">
        <v>2767</v>
      </c>
      <c r="C596" s="88">
        <v>45462</v>
      </c>
      <c r="D596" s="89">
        <v>0.625</v>
      </c>
      <c r="E596" s="87" t="s">
        <v>58</v>
      </c>
      <c r="F596" s="87" t="s">
        <v>1184</v>
      </c>
      <c r="G596" s="87" t="s">
        <v>62</v>
      </c>
      <c r="H596" s="90" t="s">
        <v>2768</v>
      </c>
      <c r="I596" s="90" t="s">
        <v>64</v>
      </c>
      <c r="J596" s="87" t="s">
        <v>70</v>
      </c>
      <c r="K596" s="87" t="s">
        <v>71</v>
      </c>
      <c r="L596" s="90" t="s">
        <v>2769</v>
      </c>
      <c r="M596" s="91" t="s">
        <v>2770</v>
      </c>
      <c r="N596" s="90" t="s">
        <v>2771</v>
      </c>
      <c r="O596" s="90" t="str">
        <f t="shared" si="68"/>
        <v>Distrital</v>
      </c>
      <c r="P596" s="87" t="s">
        <v>73</v>
      </c>
      <c r="Q596" s="87"/>
      <c r="R596" s="87"/>
      <c r="S596" s="87"/>
      <c r="T596" s="87"/>
      <c r="U596" s="87"/>
      <c r="V596" s="90" t="str">
        <f t="shared" si="70"/>
        <v>Distrital</v>
      </c>
      <c r="W596" s="87" t="s">
        <v>73</v>
      </c>
      <c r="X596" s="87"/>
      <c r="Y596" s="87"/>
      <c r="Z596" s="87"/>
      <c r="AA596" s="87"/>
      <c r="AB596" s="87"/>
      <c r="AC596" s="90" t="str">
        <f t="shared" si="71"/>
        <v>Distrital</v>
      </c>
      <c r="AD596" s="87" t="s">
        <v>73</v>
      </c>
      <c r="AE596" s="87"/>
      <c r="AF596" s="87"/>
      <c r="AG596" s="87"/>
      <c r="AH596" s="87"/>
      <c r="AI596" s="87"/>
      <c r="AJ596" s="87"/>
      <c r="AK596" s="87"/>
      <c r="AL596" s="87"/>
      <c r="AM596" s="87"/>
      <c r="AN596" s="90" t="s">
        <v>160</v>
      </c>
      <c r="AO596" s="90" t="s">
        <v>2772</v>
      </c>
      <c r="AP596" s="82"/>
      <c r="AQ596" s="87" t="s">
        <v>59</v>
      </c>
      <c r="AR596" s="87" t="s">
        <v>80</v>
      </c>
      <c r="AS596" s="82"/>
      <c r="AT596" s="87">
        <v>0</v>
      </c>
      <c r="AU596" s="87">
        <v>11</v>
      </c>
      <c r="AV596" s="87">
        <f t="shared" ref="AV596:AV597" si="74">AT596+AU596</f>
        <v>11</v>
      </c>
      <c r="AW596" s="87" t="str">
        <f t="shared" si="54"/>
        <v>Ninguna</v>
      </c>
      <c r="AX596" s="87" t="s">
        <v>75</v>
      </c>
      <c r="AY596" s="87"/>
      <c r="AZ596" s="87"/>
      <c r="BA596" s="91" t="s">
        <v>2773</v>
      </c>
      <c r="BB596" s="84"/>
      <c r="BC596" s="85"/>
      <c r="BD596" s="85"/>
    </row>
    <row r="597" spans="1:56" s="86" customFormat="1" ht="46.5" customHeight="1">
      <c r="A597" s="87">
        <v>592</v>
      </c>
      <c r="B597" s="79" t="s">
        <v>2774</v>
      </c>
      <c r="C597" s="88">
        <v>45462</v>
      </c>
      <c r="D597" s="89">
        <v>0.6875</v>
      </c>
      <c r="E597" s="87" t="s">
        <v>58</v>
      </c>
      <c r="F597" s="87" t="s">
        <v>2680</v>
      </c>
      <c r="G597" s="87" t="s">
        <v>95</v>
      </c>
      <c r="H597" s="90" t="s">
        <v>2709</v>
      </c>
      <c r="I597" s="90" t="s">
        <v>64</v>
      </c>
      <c r="J597" s="87" t="s">
        <v>119</v>
      </c>
      <c r="K597" s="87" t="s">
        <v>217</v>
      </c>
      <c r="L597" s="90" t="s">
        <v>72</v>
      </c>
      <c r="M597" s="91" t="s">
        <v>72</v>
      </c>
      <c r="N597" s="90" t="s">
        <v>72</v>
      </c>
      <c r="O597" s="90" t="str">
        <f t="shared" si="68"/>
        <v>Antonio Nariño</v>
      </c>
      <c r="P597" s="87" t="s">
        <v>413</v>
      </c>
      <c r="Q597" s="87"/>
      <c r="R597" s="87"/>
      <c r="S597" s="87"/>
      <c r="T597" s="87"/>
      <c r="U597" s="87"/>
      <c r="V597" s="90" t="str">
        <f t="shared" si="70"/>
        <v>Centro Ampliado</v>
      </c>
      <c r="W597" s="87" t="s">
        <v>415</v>
      </c>
      <c r="X597" s="87"/>
      <c r="Y597" s="87"/>
      <c r="Z597" s="87"/>
      <c r="AA597" s="87"/>
      <c r="AB597" s="87"/>
      <c r="AC597" s="90" t="str">
        <f t="shared" si="71"/>
        <v>Restrepo</v>
      </c>
      <c r="AD597" s="87" t="s">
        <v>416</v>
      </c>
      <c r="AE597" s="87"/>
      <c r="AF597" s="87"/>
      <c r="AG597" s="87"/>
      <c r="AH597" s="87"/>
      <c r="AI597" s="87"/>
      <c r="AJ597" s="87"/>
      <c r="AK597" s="87"/>
      <c r="AL597" s="87"/>
      <c r="AM597" s="87"/>
      <c r="AN597" s="90" t="s">
        <v>416</v>
      </c>
      <c r="AO597" s="102" t="s">
        <v>2638</v>
      </c>
      <c r="AP597" s="82"/>
      <c r="AQ597" s="87" t="s">
        <v>59</v>
      </c>
      <c r="AR597" s="87" t="s">
        <v>80</v>
      </c>
      <c r="AS597" s="82"/>
      <c r="AT597" s="87">
        <v>12</v>
      </c>
      <c r="AU597" s="87">
        <v>1</v>
      </c>
      <c r="AV597" s="87">
        <f t="shared" si="74"/>
        <v>13</v>
      </c>
      <c r="AW597" s="87" t="str">
        <f t="shared" si="54"/>
        <v>Horarios Acordes</v>
      </c>
      <c r="AX597" s="87" t="s">
        <v>213</v>
      </c>
      <c r="AY597" s="87"/>
      <c r="AZ597" s="87"/>
      <c r="BA597" s="91" t="s">
        <v>2775</v>
      </c>
      <c r="BB597" s="84"/>
      <c r="BC597" s="85"/>
      <c r="BD597" s="85"/>
    </row>
    <row r="598" spans="1:56" s="86" customFormat="1" ht="46.5" customHeight="1">
      <c r="A598" s="78">
        <v>593</v>
      </c>
      <c r="B598" s="79" t="s">
        <v>2776</v>
      </c>
      <c r="C598" s="88">
        <v>45462</v>
      </c>
      <c r="D598" s="89">
        <v>0.75</v>
      </c>
      <c r="E598" s="87" t="s">
        <v>93</v>
      </c>
      <c r="F598" s="87" t="s">
        <v>102</v>
      </c>
      <c r="G598" s="87" t="s">
        <v>95</v>
      </c>
      <c r="H598" s="90" t="s">
        <v>2777</v>
      </c>
      <c r="I598" s="90" t="s">
        <v>118</v>
      </c>
      <c r="J598" s="87" t="s">
        <v>119</v>
      </c>
      <c r="K598" s="87" t="s">
        <v>129</v>
      </c>
      <c r="L598" s="90" t="s">
        <v>891</v>
      </c>
      <c r="M598" s="91" t="s">
        <v>2778</v>
      </c>
      <c r="N598" s="90" t="s">
        <v>2280</v>
      </c>
      <c r="O598" s="90" t="str">
        <f t="shared" si="68"/>
        <v>Distrital</v>
      </c>
      <c r="P598" s="87" t="s">
        <v>73</v>
      </c>
      <c r="Q598" s="87"/>
      <c r="R598" s="87"/>
      <c r="S598" s="87"/>
      <c r="T598" s="87"/>
      <c r="U598" s="87"/>
      <c r="V598" s="90" t="str">
        <f t="shared" si="70"/>
        <v>Distrital</v>
      </c>
      <c r="W598" s="87" t="s">
        <v>73</v>
      </c>
      <c r="X598" s="87"/>
      <c r="Y598" s="87"/>
      <c r="Z598" s="87"/>
      <c r="AA598" s="87"/>
      <c r="AB598" s="87"/>
      <c r="AC598" s="90" t="str">
        <f t="shared" si="71"/>
        <v>Distrital</v>
      </c>
      <c r="AD598" s="87" t="s">
        <v>73</v>
      </c>
      <c r="AE598" s="87"/>
      <c r="AF598" s="87"/>
      <c r="AG598" s="87"/>
      <c r="AH598" s="87"/>
      <c r="AI598" s="87"/>
      <c r="AJ598" s="87"/>
      <c r="AK598" s="87"/>
      <c r="AL598" s="87"/>
      <c r="AM598" s="87"/>
      <c r="AN598" s="90" t="s">
        <v>160</v>
      </c>
      <c r="AO598" s="90" t="s">
        <v>102</v>
      </c>
      <c r="AP598" s="82"/>
      <c r="AQ598" s="87" t="s">
        <v>59</v>
      </c>
      <c r="AR598" s="87" t="s">
        <v>80</v>
      </c>
      <c r="AS598" s="82"/>
      <c r="AT598" s="87">
        <v>14</v>
      </c>
      <c r="AU598" s="87">
        <v>1</v>
      </c>
      <c r="AV598" s="87">
        <f>AT598+AU598</f>
        <v>15</v>
      </c>
      <c r="AW598" s="87" t="str">
        <f>_xlfn.TEXTJOIN(", ",TRUE,$AX598:$AZ598)</f>
        <v>Ninguna</v>
      </c>
      <c r="AX598" s="87" t="s">
        <v>75</v>
      </c>
      <c r="AY598" s="87"/>
      <c r="AZ598" s="87"/>
      <c r="BA598" s="91" t="s">
        <v>2779</v>
      </c>
      <c r="BB598" s="84"/>
      <c r="BC598" s="85"/>
      <c r="BD598" s="85"/>
    </row>
    <row r="599" spans="1:56" s="86" customFormat="1" ht="46.5" customHeight="1">
      <c r="A599" s="87">
        <v>594</v>
      </c>
      <c r="B599" s="79" t="s">
        <v>2780</v>
      </c>
      <c r="C599" s="88">
        <v>45463</v>
      </c>
      <c r="D599" s="89">
        <v>0.33333333333333331</v>
      </c>
      <c r="E599" s="87" t="s">
        <v>58</v>
      </c>
      <c r="F599" s="87" t="s">
        <v>287</v>
      </c>
      <c r="G599" s="87" t="s">
        <v>95</v>
      </c>
      <c r="H599" s="90" t="s">
        <v>2781</v>
      </c>
      <c r="I599" s="90" t="s">
        <v>64</v>
      </c>
      <c r="J599" s="87" t="s">
        <v>70</v>
      </c>
      <c r="K599" s="87" t="s">
        <v>71</v>
      </c>
      <c r="L599" s="90" t="s">
        <v>289</v>
      </c>
      <c r="M599" s="91" t="s">
        <v>2782</v>
      </c>
      <c r="N599" s="90" t="s">
        <v>291</v>
      </c>
      <c r="O599" s="90" t="str">
        <f t="shared" si="68"/>
        <v>Distrital</v>
      </c>
      <c r="P599" s="87" t="s">
        <v>73</v>
      </c>
      <c r="Q599" s="87"/>
      <c r="R599" s="87"/>
      <c r="S599" s="87"/>
      <c r="T599" s="87"/>
      <c r="U599" s="87"/>
      <c r="V599" s="90" t="str">
        <f t="shared" si="70"/>
        <v>Distrital</v>
      </c>
      <c r="W599" s="87" t="s">
        <v>73</v>
      </c>
      <c r="X599" s="87"/>
      <c r="Y599" s="87"/>
      <c r="Z599" s="87"/>
      <c r="AA599" s="87"/>
      <c r="AB599" s="87"/>
      <c r="AC599" s="90" t="str">
        <f t="shared" si="71"/>
        <v>Distrital</v>
      </c>
      <c r="AD599" s="87" t="s">
        <v>73</v>
      </c>
      <c r="AE599" s="87"/>
      <c r="AF599" s="87"/>
      <c r="AG599" s="87"/>
      <c r="AH599" s="87"/>
      <c r="AI599" s="87"/>
      <c r="AJ599" s="87"/>
      <c r="AK599" s="87"/>
      <c r="AL599" s="87"/>
      <c r="AM599" s="87"/>
      <c r="AN599" s="90" t="s">
        <v>160</v>
      </c>
      <c r="AO599" s="102" t="s">
        <v>2638</v>
      </c>
      <c r="AP599" s="82"/>
      <c r="AQ599" s="87" t="s">
        <v>59</v>
      </c>
      <c r="AR599" s="87" t="s">
        <v>80</v>
      </c>
      <c r="AS599" s="82"/>
      <c r="AT599" s="87">
        <v>0</v>
      </c>
      <c r="AU599" s="87">
        <v>5</v>
      </c>
      <c r="AV599" s="87">
        <f>AT599+AU599</f>
        <v>5</v>
      </c>
      <c r="AW599" s="87" t="str">
        <f>_xlfn.TEXTJOIN(", ",TRUE,$AX599:$AZ599)</f>
        <v>Ninguna</v>
      </c>
      <c r="AX599" s="87" t="s">
        <v>75</v>
      </c>
      <c r="AY599" s="87"/>
      <c r="AZ599" s="87"/>
      <c r="BA599" s="91" t="s">
        <v>2783</v>
      </c>
      <c r="BB599" s="84"/>
      <c r="BC599" s="85"/>
      <c r="BD599" s="85"/>
    </row>
    <row r="600" spans="1:56" s="86" customFormat="1" ht="46.5" customHeight="1">
      <c r="A600" s="78">
        <v>595</v>
      </c>
      <c r="B600" s="79" t="s">
        <v>2784</v>
      </c>
      <c r="C600" s="88">
        <v>45463</v>
      </c>
      <c r="D600" s="89">
        <v>0.375</v>
      </c>
      <c r="E600" s="87" t="s">
        <v>58</v>
      </c>
      <c r="F600" s="87" t="s">
        <v>1184</v>
      </c>
      <c r="G600" s="87" t="s">
        <v>95</v>
      </c>
      <c r="H600" s="90" t="s">
        <v>2785</v>
      </c>
      <c r="I600" s="90" t="s">
        <v>118</v>
      </c>
      <c r="J600" s="87" t="s">
        <v>70</v>
      </c>
      <c r="K600" s="87" t="s">
        <v>71</v>
      </c>
      <c r="L600" s="90" t="s">
        <v>121</v>
      </c>
      <c r="M600" s="91" t="s">
        <v>2786</v>
      </c>
      <c r="N600" s="90" t="s">
        <v>2257</v>
      </c>
      <c r="O600" s="90" t="str">
        <f t="shared" si="68"/>
        <v>Distrital</v>
      </c>
      <c r="P600" s="87" t="s">
        <v>73</v>
      </c>
      <c r="Q600" s="87"/>
      <c r="R600" s="87"/>
      <c r="S600" s="87"/>
      <c r="T600" s="87"/>
      <c r="U600" s="87"/>
      <c r="V600" s="90" t="str">
        <f t="shared" si="70"/>
        <v>Centro Ampliado</v>
      </c>
      <c r="W600" s="87" t="s">
        <v>415</v>
      </c>
      <c r="X600" s="87"/>
      <c r="Y600" s="87"/>
      <c r="Z600" s="87"/>
      <c r="AA600" s="87"/>
      <c r="AB600" s="87"/>
      <c r="AC600" s="90" t="str">
        <f t="shared" si="71"/>
        <v>Distrital</v>
      </c>
      <c r="AD600" s="87" t="s">
        <v>73</v>
      </c>
      <c r="AE600" s="87"/>
      <c r="AF600" s="87"/>
      <c r="AG600" s="87"/>
      <c r="AH600" s="87"/>
      <c r="AI600" s="87"/>
      <c r="AJ600" s="87"/>
      <c r="AK600" s="87"/>
      <c r="AL600" s="87"/>
      <c r="AM600" s="87"/>
      <c r="AN600" s="90" t="s">
        <v>160</v>
      </c>
      <c r="AO600" s="102" t="s">
        <v>2638</v>
      </c>
      <c r="AP600" s="82"/>
      <c r="AQ600" s="87" t="s">
        <v>59</v>
      </c>
      <c r="AR600" s="87" t="s">
        <v>80</v>
      </c>
      <c r="AS600" s="82"/>
      <c r="AT600" s="87">
        <v>0</v>
      </c>
      <c r="AU600" s="87">
        <v>2</v>
      </c>
      <c r="AV600" s="87">
        <f>AT600+AU600</f>
        <v>2</v>
      </c>
      <c r="AW600" s="87" t="str">
        <f>_xlfn.TEXTJOIN(", ",TRUE,$AX600:$AZ600)</f>
        <v>Horarios Acordes</v>
      </c>
      <c r="AX600" s="87" t="s">
        <v>213</v>
      </c>
      <c r="AY600" s="87"/>
      <c r="AZ600" s="87"/>
      <c r="BA600" s="91" t="s">
        <v>2787</v>
      </c>
      <c r="BB600" s="84"/>
      <c r="BC600" s="85"/>
      <c r="BD600" s="85"/>
    </row>
    <row r="601" spans="1:56" s="86" customFormat="1" ht="46.5" customHeight="1">
      <c r="A601" s="87">
        <v>596</v>
      </c>
      <c r="B601" s="79" t="s">
        <v>2788</v>
      </c>
      <c r="C601" s="88">
        <v>45463</v>
      </c>
      <c r="D601" s="89">
        <v>0.375</v>
      </c>
      <c r="E601" s="87" t="s">
        <v>58</v>
      </c>
      <c r="F601" s="87" t="s">
        <v>135</v>
      </c>
      <c r="G601" s="87" t="s">
        <v>62</v>
      </c>
      <c r="H601" s="90" t="s">
        <v>2789</v>
      </c>
      <c r="I601" s="90" t="s">
        <v>128</v>
      </c>
      <c r="J601" s="87" t="s">
        <v>70</v>
      </c>
      <c r="K601" s="87" t="s">
        <v>71</v>
      </c>
      <c r="L601" s="90" t="s">
        <v>2723</v>
      </c>
      <c r="M601" s="91" t="s">
        <v>2790</v>
      </c>
      <c r="N601" s="90" t="s">
        <v>2724</v>
      </c>
      <c r="O601" s="90" t="str">
        <f t="shared" si="68"/>
        <v>Distrital</v>
      </c>
      <c r="P601" s="87" t="s">
        <v>73</v>
      </c>
      <c r="Q601" s="87"/>
      <c r="R601" s="87"/>
      <c r="S601" s="87"/>
      <c r="T601" s="87"/>
      <c r="U601" s="87"/>
      <c r="V601" s="90" t="str">
        <f t="shared" si="70"/>
        <v>Distrital</v>
      </c>
      <c r="W601" s="87" t="s">
        <v>73</v>
      </c>
      <c r="X601" s="87"/>
      <c r="Y601" s="87"/>
      <c r="Z601" s="87"/>
      <c r="AA601" s="87"/>
      <c r="AB601" s="87"/>
      <c r="AC601" s="90" t="str">
        <f t="shared" si="71"/>
        <v>Distrital</v>
      </c>
      <c r="AD601" s="87" t="s">
        <v>73</v>
      </c>
      <c r="AE601" s="87"/>
      <c r="AF601" s="87"/>
      <c r="AG601" s="87"/>
      <c r="AH601" s="87"/>
      <c r="AI601" s="87"/>
      <c r="AJ601" s="87"/>
      <c r="AK601" s="87"/>
      <c r="AL601" s="87"/>
      <c r="AM601" s="87"/>
      <c r="AN601" s="90" t="s">
        <v>160</v>
      </c>
      <c r="AO601" s="90" t="s">
        <v>2791</v>
      </c>
      <c r="AP601" s="82"/>
      <c r="AQ601" s="87" t="s">
        <v>59</v>
      </c>
      <c r="AR601" s="87" t="s">
        <v>80</v>
      </c>
      <c r="AS601" s="82"/>
      <c r="AT601" s="87">
        <v>0</v>
      </c>
      <c r="AU601" s="87">
        <v>6</v>
      </c>
      <c r="AV601" s="87">
        <f t="shared" ref="AV601:AV607" si="75">AT601+AU601</f>
        <v>6</v>
      </c>
      <c r="AW601" s="87" t="str">
        <f t="shared" si="54"/>
        <v>Ninguna</v>
      </c>
      <c r="AX601" s="87" t="s">
        <v>75</v>
      </c>
      <c r="AY601" s="87"/>
      <c r="AZ601" s="87"/>
      <c r="BA601" s="91" t="s">
        <v>2792</v>
      </c>
      <c r="BB601" s="84"/>
      <c r="BC601" s="85"/>
      <c r="BD601" s="85"/>
    </row>
    <row r="602" spans="1:56" s="86" customFormat="1" ht="46.5" customHeight="1">
      <c r="A602" s="78">
        <v>597</v>
      </c>
      <c r="B602" s="79" t="s">
        <v>2793</v>
      </c>
      <c r="C602" s="88">
        <v>45463</v>
      </c>
      <c r="D602" s="89">
        <v>0.45833333333333331</v>
      </c>
      <c r="E602" s="87" t="s">
        <v>58</v>
      </c>
      <c r="F602" s="87" t="s">
        <v>61</v>
      </c>
      <c r="G602" s="87" t="s">
        <v>95</v>
      </c>
      <c r="H602" s="90" t="s">
        <v>2794</v>
      </c>
      <c r="I602" s="90" t="s">
        <v>128</v>
      </c>
      <c r="J602" s="87" t="s">
        <v>70</v>
      </c>
      <c r="K602" s="87" t="s">
        <v>71</v>
      </c>
      <c r="L602" s="90" t="s">
        <v>2795</v>
      </c>
      <c r="M602" s="91" t="s">
        <v>2796</v>
      </c>
      <c r="N602" s="90" t="s">
        <v>72</v>
      </c>
      <c r="O602" s="90" t="str">
        <f t="shared" si="68"/>
        <v>Distrital</v>
      </c>
      <c r="P602" s="87" t="s">
        <v>73</v>
      </c>
      <c r="Q602" s="87"/>
      <c r="R602" s="87"/>
      <c r="S602" s="87"/>
      <c r="T602" s="87"/>
      <c r="U602" s="87"/>
      <c r="V602" s="90" t="str">
        <f t="shared" si="70"/>
        <v>Distrital</v>
      </c>
      <c r="W602" s="87" t="s">
        <v>73</v>
      </c>
      <c r="X602" s="87"/>
      <c r="Y602" s="87"/>
      <c r="Z602" s="87"/>
      <c r="AA602" s="87"/>
      <c r="AB602" s="87"/>
      <c r="AC602" s="90" t="str">
        <f t="shared" si="71"/>
        <v>Distrital</v>
      </c>
      <c r="AD602" s="87" t="s">
        <v>73</v>
      </c>
      <c r="AE602" s="87"/>
      <c r="AF602" s="87"/>
      <c r="AG602" s="87"/>
      <c r="AH602" s="87"/>
      <c r="AI602" s="87"/>
      <c r="AJ602" s="87"/>
      <c r="AK602" s="87"/>
      <c r="AL602" s="87"/>
      <c r="AM602" s="87"/>
      <c r="AN602" s="90" t="s">
        <v>2797</v>
      </c>
      <c r="AO602" s="102" t="s">
        <v>2798</v>
      </c>
      <c r="AP602" s="82"/>
      <c r="AQ602" s="87" t="s">
        <v>59</v>
      </c>
      <c r="AR602" s="87" t="s">
        <v>80</v>
      </c>
      <c r="AS602" s="82"/>
      <c r="AT602" s="87">
        <v>0</v>
      </c>
      <c r="AU602" s="87">
        <v>4</v>
      </c>
      <c r="AV602" s="87">
        <f t="shared" si="75"/>
        <v>4</v>
      </c>
      <c r="AW602" s="87" t="str">
        <f t="shared" si="54"/>
        <v>Ninguna</v>
      </c>
      <c r="AX602" s="87" t="s">
        <v>75</v>
      </c>
      <c r="AY602" s="87"/>
      <c r="AZ602" s="87"/>
      <c r="BA602" s="91" t="s">
        <v>2799</v>
      </c>
      <c r="BB602" s="84"/>
      <c r="BC602" s="85"/>
      <c r="BD602" s="85"/>
    </row>
    <row r="603" spans="1:56" s="86" customFormat="1" ht="46.5" customHeight="1">
      <c r="A603" s="87">
        <v>598</v>
      </c>
      <c r="B603" s="79" t="s">
        <v>2800</v>
      </c>
      <c r="C603" s="88">
        <v>45463</v>
      </c>
      <c r="D603" s="89">
        <v>0.5625</v>
      </c>
      <c r="E603" s="87" t="s">
        <v>58</v>
      </c>
      <c r="F603" s="87" t="s">
        <v>2680</v>
      </c>
      <c r="G603" s="87" t="s">
        <v>62</v>
      </c>
      <c r="H603" s="90" t="s">
        <v>2681</v>
      </c>
      <c r="I603" s="90" t="s">
        <v>64</v>
      </c>
      <c r="J603" s="87" t="s">
        <v>119</v>
      </c>
      <c r="K603" s="87" t="s">
        <v>120</v>
      </c>
      <c r="L603" s="90" t="s">
        <v>2801</v>
      </c>
      <c r="M603" s="91" t="s">
        <v>2802</v>
      </c>
      <c r="N603" s="90" t="s">
        <v>2803</v>
      </c>
      <c r="O603" s="90" t="str">
        <f t="shared" si="68"/>
        <v>Usaquén</v>
      </c>
      <c r="P603" s="87" t="s">
        <v>428</v>
      </c>
      <c r="Q603" s="87"/>
      <c r="R603" s="87"/>
      <c r="S603" s="87"/>
      <c r="T603" s="87"/>
      <c r="U603" s="87"/>
      <c r="V603" s="90" t="str">
        <f t="shared" si="70"/>
        <v>Norte, Ruralidad</v>
      </c>
      <c r="W603" s="87" t="s">
        <v>429</v>
      </c>
      <c r="X603" s="87" t="s">
        <v>109</v>
      </c>
      <c r="Y603" s="87"/>
      <c r="Z603" s="87"/>
      <c r="AA603" s="87"/>
      <c r="AB603" s="87"/>
      <c r="AC603" s="90" t="str">
        <f t="shared" si="71"/>
        <v>Usaquén, Toberín, Torca, Cerros Orientales</v>
      </c>
      <c r="AD603" s="87" t="s">
        <v>428</v>
      </c>
      <c r="AE603" s="87" t="s">
        <v>527</v>
      </c>
      <c r="AF603" s="87" t="s">
        <v>528</v>
      </c>
      <c r="AG603" s="87" t="s">
        <v>222</v>
      </c>
      <c r="AH603" s="87"/>
      <c r="AI603" s="87"/>
      <c r="AJ603" s="87"/>
      <c r="AK603" s="87"/>
      <c r="AL603" s="87"/>
      <c r="AM603" s="87"/>
      <c r="AN603" s="90" t="s">
        <v>2804</v>
      </c>
      <c r="AO603" s="90" t="s">
        <v>2805</v>
      </c>
      <c r="AP603" s="82"/>
      <c r="AQ603" s="87" t="s">
        <v>59</v>
      </c>
      <c r="AR603" s="87" t="s">
        <v>80</v>
      </c>
      <c r="AS603" s="82"/>
      <c r="AT603" s="87">
        <v>7</v>
      </c>
      <c r="AU603" s="87">
        <v>1</v>
      </c>
      <c r="AV603" s="87">
        <f t="shared" si="75"/>
        <v>8</v>
      </c>
      <c r="AW603" s="87" t="str">
        <f t="shared" si="54"/>
        <v>Horarios Acordes</v>
      </c>
      <c r="AX603" s="87" t="s">
        <v>213</v>
      </c>
      <c r="AY603" s="87"/>
      <c r="AZ603" s="87"/>
      <c r="BA603" s="91" t="s">
        <v>2806</v>
      </c>
      <c r="BB603" s="84"/>
      <c r="BC603" s="85"/>
      <c r="BD603" s="85"/>
    </row>
    <row r="604" spans="1:56" s="86" customFormat="1" ht="46.5" customHeight="1">
      <c r="A604" s="78">
        <v>599</v>
      </c>
      <c r="B604" s="79" t="s">
        <v>2807</v>
      </c>
      <c r="C604" s="88">
        <v>45463</v>
      </c>
      <c r="D604" s="89">
        <v>0.58333333333333337</v>
      </c>
      <c r="E604" s="87" t="s">
        <v>58</v>
      </c>
      <c r="F604" s="87" t="s">
        <v>1205</v>
      </c>
      <c r="G604" s="87" t="s">
        <v>62</v>
      </c>
      <c r="H604" s="90" t="s">
        <v>2808</v>
      </c>
      <c r="I604" s="90" t="s">
        <v>118</v>
      </c>
      <c r="J604" s="87" t="s">
        <v>173</v>
      </c>
      <c r="K604" s="87"/>
      <c r="L604" s="90" t="s">
        <v>2809</v>
      </c>
      <c r="M604" s="91" t="s">
        <v>2810</v>
      </c>
      <c r="N604" s="90" t="s">
        <v>2811</v>
      </c>
      <c r="O604" s="90" t="str">
        <f t="shared" si="68"/>
        <v>Distrital</v>
      </c>
      <c r="P604" s="87" t="s">
        <v>73</v>
      </c>
      <c r="Q604" s="87"/>
      <c r="R604" s="87"/>
      <c r="S604" s="87"/>
      <c r="T604" s="87"/>
      <c r="U604" s="87"/>
      <c r="V604" s="90" t="str">
        <f t="shared" si="70"/>
        <v>Distrital</v>
      </c>
      <c r="W604" s="87" t="s">
        <v>73</v>
      </c>
      <c r="X604" s="87"/>
      <c r="Y604" s="87"/>
      <c r="Z604" s="87"/>
      <c r="AA604" s="87"/>
      <c r="AB604" s="87"/>
      <c r="AC604" s="90" t="str">
        <f t="shared" si="71"/>
        <v>Distrital</v>
      </c>
      <c r="AD604" s="87" t="s">
        <v>73</v>
      </c>
      <c r="AE604" s="87"/>
      <c r="AF604" s="87"/>
      <c r="AG604" s="87"/>
      <c r="AH604" s="87"/>
      <c r="AI604" s="87"/>
      <c r="AJ604" s="87"/>
      <c r="AK604" s="87"/>
      <c r="AL604" s="87"/>
      <c r="AM604" s="87"/>
      <c r="AN604" s="90" t="s">
        <v>160</v>
      </c>
      <c r="AO604" s="90" t="s">
        <v>2812</v>
      </c>
      <c r="AP604" s="82"/>
      <c r="AQ604" s="87" t="s">
        <v>59</v>
      </c>
      <c r="AR604" s="87" t="s">
        <v>80</v>
      </c>
      <c r="AS604" s="82"/>
      <c r="AT604" s="87">
        <v>10</v>
      </c>
      <c r="AU604" s="87">
        <v>2</v>
      </c>
      <c r="AV604" s="87">
        <f t="shared" si="75"/>
        <v>12</v>
      </c>
      <c r="AW604" s="87" t="str">
        <f t="shared" si="54"/>
        <v>Ninguna</v>
      </c>
      <c r="AX604" s="87" t="s">
        <v>75</v>
      </c>
      <c r="AY604" s="87"/>
      <c r="AZ604" s="87"/>
      <c r="BA604" s="91" t="s">
        <v>2813</v>
      </c>
      <c r="BB604" s="84"/>
      <c r="BC604" s="85"/>
      <c r="BD604" s="85"/>
    </row>
    <row r="605" spans="1:56" s="86" customFormat="1" ht="46.5" customHeight="1">
      <c r="A605" s="87">
        <v>600</v>
      </c>
      <c r="B605" s="79" t="s">
        <v>2814</v>
      </c>
      <c r="C605" s="88">
        <v>45463</v>
      </c>
      <c r="D605" s="89">
        <v>0.58333333333333337</v>
      </c>
      <c r="E605" s="87" t="s">
        <v>58</v>
      </c>
      <c r="F605" s="87" t="s">
        <v>116</v>
      </c>
      <c r="G605" s="87" t="s">
        <v>62</v>
      </c>
      <c r="H605" s="90" t="s">
        <v>2815</v>
      </c>
      <c r="I605" s="90" t="s">
        <v>118</v>
      </c>
      <c r="J605" s="87" t="s">
        <v>70</v>
      </c>
      <c r="K605" s="87" t="s">
        <v>71</v>
      </c>
      <c r="L605" s="90" t="s">
        <v>121</v>
      </c>
      <c r="M605" s="91" t="s">
        <v>2786</v>
      </c>
      <c r="N605" s="90" t="s">
        <v>2816</v>
      </c>
      <c r="O605" s="90" t="str">
        <f t="shared" si="68"/>
        <v>Puente Aranda</v>
      </c>
      <c r="P605" s="87" t="s">
        <v>823</v>
      </c>
      <c r="Q605" s="87"/>
      <c r="R605" s="87"/>
      <c r="S605" s="87"/>
      <c r="T605" s="87"/>
      <c r="U605" s="87"/>
      <c r="V605" s="90" t="str">
        <f t="shared" si="70"/>
        <v>Centro Ampliado</v>
      </c>
      <c r="W605" s="87" t="s">
        <v>415</v>
      </c>
      <c r="X605" s="87"/>
      <c r="Y605" s="87"/>
      <c r="Z605" s="87"/>
      <c r="AA605" s="87"/>
      <c r="AB605" s="87"/>
      <c r="AC605" s="90" t="str">
        <f t="shared" si="71"/>
        <v>Puente Aranda</v>
      </c>
      <c r="AD605" s="87" t="s">
        <v>823</v>
      </c>
      <c r="AE605" s="87"/>
      <c r="AF605" s="87"/>
      <c r="AG605" s="87"/>
      <c r="AH605" s="87"/>
      <c r="AI605" s="87"/>
      <c r="AJ605" s="87"/>
      <c r="AK605" s="87"/>
      <c r="AL605" s="87"/>
      <c r="AM605" s="87"/>
      <c r="AN605" s="90" t="s">
        <v>160</v>
      </c>
      <c r="AO605" s="90" t="s">
        <v>2817</v>
      </c>
      <c r="AP605" s="82"/>
      <c r="AQ605" s="87" t="s">
        <v>59</v>
      </c>
      <c r="AR605" s="87" t="s">
        <v>80</v>
      </c>
      <c r="AS605" s="82"/>
      <c r="AT605" s="87">
        <v>10</v>
      </c>
      <c r="AU605" s="87">
        <v>17</v>
      </c>
      <c r="AV605" s="87">
        <f t="shared" si="75"/>
        <v>27</v>
      </c>
      <c r="AW605" s="87" t="str">
        <f t="shared" si="54"/>
        <v>Ninguna</v>
      </c>
      <c r="AX605" s="87" t="s">
        <v>75</v>
      </c>
      <c r="AY605" s="87"/>
      <c r="AZ605" s="87"/>
      <c r="BA605" s="91" t="s">
        <v>2818</v>
      </c>
      <c r="BB605" s="84"/>
      <c r="BC605" s="85"/>
      <c r="BD605" s="85"/>
    </row>
    <row r="606" spans="1:56" s="86" customFormat="1" ht="46.5" customHeight="1">
      <c r="A606" s="78">
        <v>601</v>
      </c>
      <c r="B606" s="79" t="s">
        <v>2819</v>
      </c>
      <c r="C606" s="88">
        <v>45463</v>
      </c>
      <c r="D606" s="89">
        <v>0.625</v>
      </c>
      <c r="E606" s="87" t="s">
        <v>58</v>
      </c>
      <c r="F606" s="87" t="s">
        <v>1437</v>
      </c>
      <c r="G606" s="87" t="s">
        <v>62</v>
      </c>
      <c r="H606" s="90" t="s">
        <v>2820</v>
      </c>
      <c r="I606" s="90" t="s">
        <v>64</v>
      </c>
      <c r="J606" s="87" t="s">
        <v>173</v>
      </c>
      <c r="K606" s="87"/>
      <c r="L606" s="90" t="s">
        <v>72</v>
      </c>
      <c r="M606" s="91" t="s">
        <v>72</v>
      </c>
      <c r="N606" s="90" t="s">
        <v>72</v>
      </c>
      <c r="O606" s="90" t="str">
        <f t="shared" si="68"/>
        <v>Distrital</v>
      </c>
      <c r="P606" s="87" t="s">
        <v>73</v>
      </c>
      <c r="Q606" s="87"/>
      <c r="R606" s="87"/>
      <c r="S606" s="87"/>
      <c r="T606" s="87"/>
      <c r="U606" s="87"/>
      <c r="V606" s="90" t="str">
        <f t="shared" si="70"/>
        <v>Distrital</v>
      </c>
      <c r="W606" s="87" t="s">
        <v>73</v>
      </c>
      <c r="X606" s="87"/>
      <c r="Y606" s="87"/>
      <c r="Z606" s="87"/>
      <c r="AA606" s="87"/>
      <c r="AB606" s="87"/>
      <c r="AC606" s="90" t="str">
        <f t="shared" si="71"/>
        <v>Distrital</v>
      </c>
      <c r="AD606" s="87" t="s">
        <v>73</v>
      </c>
      <c r="AE606" s="87"/>
      <c r="AF606" s="87"/>
      <c r="AG606" s="87"/>
      <c r="AH606" s="87"/>
      <c r="AI606" s="87"/>
      <c r="AJ606" s="87"/>
      <c r="AK606" s="87"/>
      <c r="AL606" s="87"/>
      <c r="AM606" s="87"/>
      <c r="AN606" s="90" t="s">
        <v>160</v>
      </c>
      <c r="AO606" s="90" t="s">
        <v>2821</v>
      </c>
      <c r="AP606" s="82"/>
      <c r="AQ606" s="87" t="s">
        <v>59</v>
      </c>
      <c r="AR606" s="87" t="s">
        <v>80</v>
      </c>
      <c r="AS606" s="82"/>
      <c r="AT606" s="87">
        <v>3</v>
      </c>
      <c r="AU606" s="87">
        <v>5</v>
      </c>
      <c r="AV606" s="87">
        <f t="shared" si="75"/>
        <v>8</v>
      </c>
      <c r="AW606" s="87" t="str">
        <f t="shared" si="54"/>
        <v>Ninguna</v>
      </c>
      <c r="AX606" s="87" t="s">
        <v>75</v>
      </c>
      <c r="AY606" s="87"/>
      <c r="AZ606" s="87"/>
      <c r="BA606" s="91" t="s">
        <v>2822</v>
      </c>
      <c r="BB606" s="84"/>
      <c r="BC606" s="85"/>
      <c r="BD606" s="85"/>
    </row>
    <row r="607" spans="1:56" s="86" customFormat="1" ht="46.5" customHeight="1">
      <c r="A607" s="87">
        <v>602</v>
      </c>
      <c r="B607" s="79" t="s">
        <v>2823</v>
      </c>
      <c r="C607" s="88">
        <v>45464</v>
      </c>
      <c r="D607" s="89">
        <v>0.375</v>
      </c>
      <c r="E607" s="87" t="s">
        <v>58</v>
      </c>
      <c r="F607" s="87" t="s">
        <v>2680</v>
      </c>
      <c r="G607" s="87" t="s">
        <v>62</v>
      </c>
      <c r="H607" s="90" t="s">
        <v>2824</v>
      </c>
      <c r="I607" s="90" t="s">
        <v>64</v>
      </c>
      <c r="J607" s="87" t="s">
        <v>70</v>
      </c>
      <c r="K607" s="87" t="s">
        <v>104</v>
      </c>
      <c r="L607" s="90" t="s">
        <v>72</v>
      </c>
      <c r="M607" s="91" t="s">
        <v>72</v>
      </c>
      <c r="N607" s="90" t="s">
        <v>72</v>
      </c>
      <c r="O607" s="90" t="str">
        <f t="shared" si="68"/>
        <v>Suba</v>
      </c>
      <c r="P607" s="87" t="s">
        <v>394</v>
      </c>
      <c r="Q607" s="87"/>
      <c r="R607" s="87"/>
      <c r="S607" s="87"/>
      <c r="T607" s="87"/>
      <c r="U607" s="87"/>
      <c r="V607" s="90" t="str">
        <f t="shared" si="70"/>
        <v>Noroccidente, Norte</v>
      </c>
      <c r="W607" s="87" t="s">
        <v>395</v>
      </c>
      <c r="X607" s="87" t="s">
        <v>429</v>
      </c>
      <c r="Y607" s="87"/>
      <c r="Z607" s="87"/>
      <c r="AA607" s="87"/>
      <c r="AB607" s="87"/>
      <c r="AC607" s="90" t="str">
        <f t="shared" si="71"/>
        <v>Suba, Suba Rincón, Tibabuyes, Niza, Britalia, Torca</v>
      </c>
      <c r="AD607" s="87" t="s">
        <v>394</v>
      </c>
      <c r="AE607" s="87" t="s">
        <v>396</v>
      </c>
      <c r="AF607" s="87" t="s">
        <v>924</v>
      </c>
      <c r="AG607" s="87" t="s">
        <v>571</v>
      </c>
      <c r="AH607" s="87" t="s">
        <v>876</v>
      </c>
      <c r="AI607" s="87" t="s">
        <v>528</v>
      </c>
      <c r="AJ607" s="87"/>
      <c r="AK607" s="87"/>
      <c r="AL607" s="87"/>
      <c r="AM607" s="87"/>
      <c r="AN607" s="90" t="s">
        <v>160</v>
      </c>
      <c r="AO607" s="90" t="s">
        <v>2825</v>
      </c>
      <c r="AP607" s="82"/>
      <c r="AQ607" s="87" t="s">
        <v>59</v>
      </c>
      <c r="AR607" s="87" t="s">
        <v>80</v>
      </c>
      <c r="AS607" s="82"/>
      <c r="AT607" s="87">
        <v>2</v>
      </c>
      <c r="AU607" s="87">
        <v>2</v>
      </c>
      <c r="AV607" s="87">
        <f t="shared" si="75"/>
        <v>4</v>
      </c>
      <c r="AW607" s="87" t="str">
        <f t="shared" si="54"/>
        <v>Ninguna</v>
      </c>
      <c r="AX607" s="87" t="s">
        <v>75</v>
      </c>
      <c r="AY607" s="87"/>
      <c r="AZ607" s="87"/>
      <c r="BA607" s="91" t="s">
        <v>2826</v>
      </c>
      <c r="BB607" s="84"/>
      <c r="BC607" s="85"/>
      <c r="BD607" s="85"/>
    </row>
    <row r="608" spans="1:56" s="86" customFormat="1" ht="46.5" customHeight="1">
      <c r="A608" s="78">
        <v>603</v>
      </c>
      <c r="B608" s="79" t="s">
        <v>2827</v>
      </c>
      <c r="C608" s="88">
        <v>45464</v>
      </c>
      <c r="D608" s="89">
        <v>0.41666666666666669</v>
      </c>
      <c r="E608" s="87" t="s">
        <v>58</v>
      </c>
      <c r="F608" s="87" t="s">
        <v>1142</v>
      </c>
      <c r="G608" s="87" t="s">
        <v>62</v>
      </c>
      <c r="H608" s="90" t="s">
        <v>2828</v>
      </c>
      <c r="I608" s="90" t="s">
        <v>128</v>
      </c>
      <c r="J608" s="87" t="s">
        <v>119</v>
      </c>
      <c r="K608" s="87" t="s">
        <v>209</v>
      </c>
      <c r="L608" s="90" t="s">
        <v>2481</v>
      </c>
      <c r="M608" s="91">
        <v>3106185411</v>
      </c>
      <c r="N608" s="90" t="s">
        <v>2482</v>
      </c>
      <c r="O608" s="90" t="str">
        <f t="shared" si="68"/>
        <v>Distrital</v>
      </c>
      <c r="P608" s="87" t="s">
        <v>73</v>
      </c>
      <c r="Q608" s="87"/>
      <c r="R608" s="87"/>
      <c r="S608" s="87"/>
      <c r="T608" s="87"/>
      <c r="U608" s="87"/>
      <c r="V608" s="90" t="str">
        <f t="shared" si="70"/>
        <v>Distrital</v>
      </c>
      <c r="W608" s="87" t="s">
        <v>73</v>
      </c>
      <c r="X608" s="87"/>
      <c r="Y608" s="87"/>
      <c r="Z608" s="87"/>
      <c r="AA608" s="87"/>
      <c r="AB608" s="87"/>
      <c r="AC608" s="90" t="str">
        <f t="shared" si="71"/>
        <v>Distrital</v>
      </c>
      <c r="AD608" s="87" t="s">
        <v>73</v>
      </c>
      <c r="AE608" s="87"/>
      <c r="AF608" s="87"/>
      <c r="AG608" s="87"/>
      <c r="AH608" s="87"/>
      <c r="AI608" s="87"/>
      <c r="AJ608" s="87"/>
      <c r="AK608" s="87"/>
      <c r="AL608" s="87"/>
      <c r="AM608" s="87"/>
      <c r="AN608" s="90" t="s">
        <v>160</v>
      </c>
      <c r="AO608" s="90" t="s">
        <v>2829</v>
      </c>
      <c r="AP608" s="82"/>
      <c r="AQ608" s="87" t="s">
        <v>59</v>
      </c>
      <c r="AR608" s="87" t="s">
        <v>80</v>
      </c>
      <c r="AS608" s="82"/>
      <c r="AT608" s="87">
        <v>6</v>
      </c>
      <c r="AU608" s="87">
        <v>53</v>
      </c>
      <c r="AV608" s="87">
        <f t="shared" ref="AV608" si="76">AT608+AU608</f>
        <v>59</v>
      </c>
      <c r="AW608" s="87" t="str">
        <f t="shared" si="54"/>
        <v>Ninguna</v>
      </c>
      <c r="AX608" s="87" t="s">
        <v>75</v>
      </c>
      <c r="AY608" s="87"/>
      <c r="AZ608" s="87"/>
      <c r="BA608" s="91" t="s">
        <v>2830</v>
      </c>
      <c r="BB608" s="84"/>
      <c r="BC608" s="85"/>
      <c r="BD608" s="85"/>
    </row>
    <row r="609" spans="1:56" s="86" customFormat="1" ht="46.5" customHeight="1">
      <c r="A609" s="87">
        <v>604</v>
      </c>
      <c r="B609" s="79" t="s">
        <v>2831</v>
      </c>
      <c r="C609" s="88">
        <v>45464</v>
      </c>
      <c r="D609" s="89">
        <v>0.45833333333333331</v>
      </c>
      <c r="E609" s="87" t="s">
        <v>58</v>
      </c>
      <c r="F609" s="87" t="s">
        <v>2680</v>
      </c>
      <c r="G609" s="87" t="s">
        <v>95</v>
      </c>
      <c r="H609" s="90" t="s">
        <v>2709</v>
      </c>
      <c r="I609" s="90" t="s">
        <v>64</v>
      </c>
      <c r="J609" s="87" t="s">
        <v>70</v>
      </c>
      <c r="K609" s="87" t="s">
        <v>104</v>
      </c>
      <c r="L609" s="90" t="s">
        <v>2832</v>
      </c>
      <c r="M609" s="91">
        <v>3202149489</v>
      </c>
      <c r="N609" s="90" t="s">
        <v>2833</v>
      </c>
      <c r="O609" s="90" t="str">
        <f t="shared" si="68"/>
        <v>Sumapaz</v>
      </c>
      <c r="P609" s="87" t="s">
        <v>327</v>
      </c>
      <c r="Q609" s="87"/>
      <c r="R609" s="87"/>
      <c r="S609" s="87"/>
      <c r="T609" s="87"/>
      <c r="U609" s="87"/>
      <c r="V609" s="90" t="str">
        <f t="shared" si="70"/>
        <v>Ruralidad</v>
      </c>
      <c r="W609" s="87" t="s">
        <v>109</v>
      </c>
      <c r="X609" s="87"/>
      <c r="Y609" s="87"/>
      <c r="Z609" s="87"/>
      <c r="AA609" s="87"/>
      <c r="AB609" s="87"/>
      <c r="AC609" s="90" t="str">
        <f t="shared" si="71"/>
        <v>Sumapaz</v>
      </c>
      <c r="AD609" s="87" t="s">
        <v>327</v>
      </c>
      <c r="AE609" s="87"/>
      <c r="AF609" s="87"/>
      <c r="AG609" s="87"/>
      <c r="AH609" s="87"/>
      <c r="AI609" s="87"/>
      <c r="AJ609" s="87"/>
      <c r="AK609" s="87"/>
      <c r="AL609" s="87"/>
      <c r="AM609" s="87"/>
      <c r="AN609" s="90" t="s">
        <v>327</v>
      </c>
      <c r="AO609" s="90" t="s">
        <v>1947</v>
      </c>
      <c r="AP609" s="82"/>
      <c r="AQ609" s="87" t="s">
        <v>60</v>
      </c>
      <c r="AR609" s="87" t="s">
        <v>77</v>
      </c>
      <c r="AS609" s="82"/>
      <c r="AT609" s="87">
        <v>6</v>
      </c>
      <c r="AU609" s="110">
        <v>2</v>
      </c>
      <c r="AV609" s="87">
        <f t="shared" ref="AV609:AV615" si="77">AT609+AU609</f>
        <v>8</v>
      </c>
      <c r="AW609" s="87" t="str">
        <f t="shared" si="54"/>
        <v>Horarios Acordes</v>
      </c>
      <c r="AX609" s="87" t="s">
        <v>213</v>
      </c>
      <c r="AY609" s="87"/>
      <c r="AZ609" s="87"/>
      <c r="BA609" s="91" t="s">
        <v>61</v>
      </c>
      <c r="BB609" s="84"/>
      <c r="BC609" s="85"/>
      <c r="BD609" s="85"/>
    </row>
    <row r="610" spans="1:56" s="86" customFormat="1" ht="46.5" customHeight="1">
      <c r="A610" s="78">
        <v>605</v>
      </c>
      <c r="B610" s="79" t="s">
        <v>2834</v>
      </c>
      <c r="C610" s="88">
        <v>45464</v>
      </c>
      <c r="D610" s="89">
        <v>0.79166666666666663</v>
      </c>
      <c r="E610" s="87" t="s">
        <v>93</v>
      </c>
      <c r="F610" s="87" t="s">
        <v>102</v>
      </c>
      <c r="G610" s="87" t="s">
        <v>95</v>
      </c>
      <c r="H610" s="90" t="s">
        <v>2408</v>
      </c>
      <c r="I610" s="90" t="s">
        <v>64</v>
      </c>
      <c r="J610" s="87" t="s">
        <v>119</v>
      </c>
      <c r="K610" s="87" t="s">
        <v>129</v>
      </c>
      <c r="L610" s="90" t="s">
        <v>881</v>
      </c>
      <c r="M610" s="91" t="s">
        <v>2835</v>
      </c>
      <c r="N610" s="90" t="s">
        <v>883</v>
      </c>
      <c r="O610" s="90" t="str">
        <f t="shared" si="68"/>
        <v>Distrital</v>
      </c>
      <c r="P610" s="87" t="s">
        <v>73</v>
      </c>
      <c r="Q610" s="87"/>
      <c r="R610" s="87"/>
      <c r="S610" s="87"/>
      <c r="T610" s="87"/>
      <c r="U610" s="87"/>
      <c r="V610" s="90" t="str">
        <f t="shared" si="70"/>
        <v>Distrital</v>
      </c>
      <c r="W610" s="87" t="s">
        <v>73</v>
      </c>
      <c r="X610" s="87"/>
      <c r="Y610" s="87"/>
      <c r="Z610" s="87"/>
      <c r="AA610" s="87"/>
      <c r="AB610" s="87"/>
      <c r="AC610" s="90" t="str">
        <f t="shared" si="71"/>
        <v>Distrital</v>
      </c>
      <c r="AD610" s="87" t="s">
        <v>73</v>
      </c>
      <c r="AE610" s="87"/>
      <c r="AF610" s="87"/>
      <c r="AG610" s="87"/>
      <c r="AH610" s="87"/>
      <c r="AI610" s="87"/>
      <c r="AJ610" s="87"/>
      <c r="AK610" s="87"/>
      <c r="AL610" s="87"/>
      <c r="AM610" s="87"/>
      <c r="AN610" s="90" t="s">
        <v>160</v>
      </c>
      <c r="AO610" s="102" t="s">
        <v>2638</v>
      </c>
      <c r="AP610" s="82"/>
      <c r="AQ610" s="87" t="s">
        <v>59</v>
      </c>
      <c r="AR610" s="87" t="s">
        <v>80</v>
      </c>
      <c r="AS610" s="82"/>
      <c r="AT610" s="87">
        <v>7</v>
      </c>
      <c r="AU610" s="87">
        <v>1</v>
      </c>
      <c r="AV610" s="87">
        <f t="shared" si="77"/>
        <v>8</v>
      </c>
      <c r="AW610" s="87" t="str">
        <f t="shared" si="54"/>
        <v>Ninguna</v>
      </c>
      <c r="AX610" s="87" t="s">
        <v>75</v>
      </c>
      <c r="AY610" s="87"/>
      <c r="AZ610" s="87"/>
      <c r="BA610" s="91" t="s">
        <v>2836</v>
      </c>
      <c r="BB610" s="84"/>
      <c r="BC610" s="85"/>
      <c r="BD610" s="85"/>
    </row>
    <row r="611" spans="1:56" s="86" customFormat="1" ht="46.5" customHeight="1">
      <c r="A611" s="87">
        <v>606</v>
      </c>
      <c r="B611" s="79" t="s">
        <v>2837</v>
      </c>
      <c r="C611" s="88">
        <v>45465</v>
      </c>
      <c r="D611" s="89">
        <v>0.39583333333333331</v>
      </c>
      <c r="E611" s="87" t="s">
        <v>58</v>
      </c>
      <c r="F611" s="87" t="s">
        <v>149</v>
      </c>
      <c r="G611" s="87" t="s">
        <v>95</v>
      </c>
      <c r="H611" s="90" t="s">
        <v>2838</v>
      </c>
      <c r="I611" s="90" t="s">
        <v>64</v>
      </c>
      <c r="J611" s="87" t="s">
        <v>70</v>
      </c>
      <c r="K611" s="87" t="s">
        <v>104</v>
      </c>
      <c r="L611" s="90" t="s">
        <v>2839</v>
      </c>
      <c r="M611" s="91" t="s">
        <v>2840</v>
      </c>
      <c r="N611" s="90" t="s">
        <v>2841</v>
      </c>
      <c r="O611" s="90" t="str">
        <f t="shared" si="68"/>
        <v>Tunjuelito</v>
      </c>
      <c r="P611" s="87" t="s">
        <v>618</v>
      </c>
      <c r="Q611" s="87"/>
      <c r="R611" s="87"/>
      <c r="S611" s="87"/>
      <c r="T611" s="87"/>
      <c r="U611" s="87"/>
      <c r="V611" s="90" t="str">
        <f t="shared" si="70"/>
        <v>Suroriente</v>
      </c>
      <c r="W611" s="87" t="s">
        <v>108</v>
      </c>
      <c r="X611" s="87"/>
      <c r="Y611" s="87"/>
      <c r="Z611" s="87"/>
      <c r="AA611" s="87"/>
      <c r="AB611" s="87"/>
      <c r="AC611" s="90" t="str">
        <f t="shared" si="71"/>
        <v>Tunjuelito, Arborizadora</v>
      </c>
      <c r="AD611" s="87" t="s">
        <v>618</v>
      </c>
      <c r="AE611" s="87" t="s">
        <v>110</v>
      </c>
      <c r="AF611" s="87"/>
      <c r="AG611" s="87"/>
      <c r="AH611" s="87"/>
      <c r="AI611" s="87"/>
      <c r="AJ611" s="87"/>
      <c r="AK611" s="87"/>
      <c r="AL611" s="87"/>
      <c r="AM611" s="87"/>
      <c r="AN611" s="90" t="s">
        <v>618</v>
      </c>
      <c r="AO611" s="102" t="s">
        <v>2638</v>
      </c>
      <c r="AP611" s="82"/>
      <c r="AQ611" s="87" t="s">
        <v>59</v>
      </c>
      <c r="AR611" s="87" t="s">
        <v>80</v>
      </c>
      <c r="AS611" s="82"/>
      <c r="AT611" s="87">
        <v>18</v>
      </c>
      <c r="AU611" s="87">
        <v>1</v>
      </c>
      <c r="AV611" s="87">
        <f t="shared" si="77"/>
        <v>19</v>
      </c>
      <c r="AW611" s="87" t="str">
        <f t="shared" si="54"/>
        <v>Horarios Acordes</v>
      </c>
      <c r="AX611" s="87" t="s">
        <v>213</v>
      </c>
      <c r="AY611" s="87"/>
      <c r="AZ611" s="87"/>
      <c r="BA611" s="91" t="s">
        <v>2842</v>
      </c>
      <c r="BB611" s="84"/>
      <c r="BC611" s="85"/>
      <c r="BD611" s="85"/>
    </row>
    <row r="612" spans="1:56" s="86" customFormat="1" ht="46.5" customHeight="1">
      <c r="A612" s="78">
        <v>607</v>
      </c>
      <c r="B612" s="79" t="s">
        <v>2843</v>
      </c>
      <c r="C612" s="88">
        <v>45465</v>
      </c>
      <c r="D612" s="89">
        <v>0.41666666666666669</v>
      </c>
      <c r="E612" s="87" t="s">
        <v>58</v>
      </c>
      <c r="F612" s="87" t="s">
        <v>2680</v>
      </c>
      <c r="G612" s="87" t="s">
        <v>62</v>
      </c>
      <c r="H612" s="90" t="s">
        <v>2844</v>
      </c>
      <c r="I612" s="90" t="s">
        <v>128</v>
      </c>
      <c r="J612" s="87" t="s">
        <v>119</v>
      </c>
      <c r="K612" s="87" t="s">
        <v>120</v>
      </c>
      <c r="L612" s="90" t="s">
        <v>2845</v>
      </c>
      <c r="M612" s="91" t="s">
        <v>2846</v>
      </c>
      <c r="N612" s="90" t="s">
        <v>2847</v>
      </c>
      <c r="O612" s="90" t="str">
        <f t="shared" si="68"/>
        <v>Suba</v>
      </c>
      <c r="P612" s="87" t="s">
        <v>394</v>
      </c>
      <c r="Q612" s="87"/>
      <c r="R612" s="87"/>
      <c r="S612" s="87"/>
      <c r="T612" s="87"/>
      <c r="U612" s="87"/>
      <c r="V612" s="90" t="str">
        <f t="shared" si="70"/>
        <v>Noroccidente, Norte</v>
      </c>
      <c r="W612" s="87" t="s">
        <v>395</v>
      </c>
      <c r="X612" s="87" t="s">
        <v>429</v>
      </c>
      <c r="Y612" s="87"/>
      <c r="Z612" s="87"/>
      <c r="AA612" s="87"/>
      <c r="AB612" s="87"/>
      <c r="AC612" s="90" t="str">
        <f t="shared" si="71"/>
        <v>Suba, Suba Rincón, Tibabuyes, Niza, Britalia, Torca</v>
      </c>
      <c r="AD612" s="87" t="s">
        <v>394</v>
      </c>
      <c r="AE612" s="87" t="s">
        <v>396</v>
      </c>
      <c r="AF612" s="87" t="s">
        <v>924</v>
      </c>
      <c r="AG612" s="87" t="s">
        <v>571</v>
      </c>
      <c r="AH612" s="87" t="s">
        <v>876</v>
      </c>
      <c r="AI612" s="87" t="s">
        <v>528</v>
      </c>
      <c r="AJ612" s="87"/>
      <c r="AK612" s="87"/>
      <c r="AL612" s="87"/>
      <c r="AM612" s="87"/>
      <c r="AN612" s="90" t="s">
        <v>2848</v>
      </c>
      <c r="AO612" s="90" t="s">
        <v>2849</v>
      </c>
      <c r="AP612" s="82"/>
      <c r="AQ612" s="87" t="s">
        <v>59</v>
      </c>
      <c r="AR612" s="87" t="s">
        <v>80</v>
      </c>
      <c r="AS612" s="82"/>
      <c r="AT612" s="87">
        <v>11</v>
      </c>
      <c r="AU612" s="87">
        <v>1</v>
      </c>
      <c r="AV612" s="87">
        <f t="shared" si="77"/>
        <v>12</v>
      </c>
      <c r="AW612" s="87" t="str">
        <f t="shared" si="54"/>
        <v>No Aplica</v>
      </c>
      <c r="AX612" s="87" t="s">
        <v>78</v>
      </c>
      <c r="AY612" s="87"/>
      <c r="AZ612" s="87"/>
      <c r="BA612" s="91" t="s">
        <v>2850</v>
      </c>
      <c r="BB612" s="84"/>
      <c r="BC612" s="85"/>
      <c r="BD612" s="85"/>
    </row>
    <row r="613" spans="1:56" s="86" customFormat="1" ht="46.5" customHeight="1">
      <c r="A613" s="87">
        <v>608</v>
      </c>
      <c r="B613" s="79" t="s">
        <v>2851</v>
      </c>
      <c r="C613" s="88">
        <v>45465</v>
      </c>
      <c r="D613" s="89">
        <v>0.47916666666666669</v>
      </c>
      <c r="E613" s="87" t="s">
        <v>58</v>
      </c>
      <c r="F613" s="87" t="s">
        <v>61</v>
      </c>
      <c r="G613" s="87" t="s">
        <v>62</v>
      </c>
      <c r="H613" s="90" t="s">
        <v>2852</v>
      </c>
      <c r="I613" s="90" t="s">
        <v>128</v>
      </c>
      <c r="J613" s="87" t="s">
        <v>119</v>
      </c>
      <c r="K613" s="87" t="s">
        <v>209</v>
      </c>
      <c r="L613" s="90" t="s">
        <v>1144</v>
      </c>
      <c r="M613" s="91">
        <v>3148396805</v>
      </c>
      <c r="N613" s="90" t="s">
        <v>1145</v>
      </c>
      <c r="O613" s="90" t="str">
        <f>_xlfn.TEXTJOIN(", ",TRUE,$P613:$T613)</f>
        <v>Distrital</v>
      </c>
      <c r="P613" s="87" t="s">
        <v>73</v>
      </c>
      <c r="Q613" s="87"/>
      <c r="R613" s="87"/>
      <c r="S613" s="87"/>
      <c r="T613" s="87"/>
      <c r="U613" s="87"/>
      <c r="V613" s="90" t="str">
        <f>_xlfn.TEXTJOIN(", ",TRUE,$W613:$AB613)</f>
        <v>Distrital</v>
      </c>
      <c r="W613" s="87" t="s">
        <v>73</v>
      </c>
      <c r="X613" s="87"/>
      <c r="Y613" s="87"/>
      <c r="Z613" s="87"/>
      <c r="AA613" s="87"/>
      <c r="AB613" s="87"/>
      <c r="AC613" s="90" t="str">
        <f>_xlfn.TEXTJOIN(", ",TRUE,$AD613:$AM613)</f>
        <v>Distrital</v>
      </c>
      <c r="AD613" s="87" t="s">
        <v>73</v>
      </c>
      <c r="AE613" s="87"/>
      <c r="AF613" s="87"/>
      <c r="AG613" s="87"/>
      <c r="AH613" s="87"/>
      <c r="AI613" s="87"/>
      <c r="AJ613" s="87"/>
      <c r="AK613" s="87"/>
      <c r="AL613" s="87"/>
      <c r="AM613" s="87"/>
      <c r="AN613" s="90" t="s">
        <v>160</v>
      </c>
      <c r="AO613" s="90" t="s">
        <v>2853</v>
      </c>
      <c r="AP613" s="82"/>
      <c r="AQ613" s="87" t="s">
        <v>60</v>
      </c>
      <c r="AR613" s="87" t="s">
        <v>2854</v>
      </c>
      <c r="AS613" s="82"/>
      <c r="AT613" s="87">
        <v>23</v>
      </c>
      <c r="AU613" s="87">
        <v>5</v>
      </c>
      <c r="AV613" s="87">
        <f>AT613+AU613</f>
        <v>28</v>
      </c>
      <c r="AW613" s="87" t="str">
        <f>_xlfn.TEXTJOIN(", ",TRUE,$AX613:$AZ613)</f>
        <v>No Aplica</v>
      </c>
      <c r="AX613" s="87" t="s">
        <v>78</v>
      </c>
      <c r="AY613" s="87"/>
      <c r="AZ613" s="87"/>
      <c r="BA613" s="91" t="s">
        <v>2855</v>
      </c>
      <c r="BB613" s="84"/>
      <c r="BC613" s="85"/>
      <c r="BD613" s="85"/>
    </row>
    <row r="614" spans="1:56" s="86" customFormat="1" ht="46.5" customHeight="1">
      <c r="A614" s="78">
        <v>609</v>
      </c>
      <c r="B614" s="79" t="s">
        <v>2856</v>
      </c>
      <c r="C614" s="88">
        <v>45467</v>
      </c>
      <c r="D614" s="89">
        <v>0.41666666666666669</v>
      </c>
      <c r="E614" s="87" t="s">
        <v>58</v>
      </c>
      <c r="F614" s="87" t="s">
        <v>2680</v>
      </c>
      <c r="G614" s="87" t="s">
        <v>62</v>
      </c>
      <c r="H614" s="90" t="s">
        <v>2857</v>
      </c>
      <c r="I614" s="90" t="s">
        <v>128</v>
      </c>
      <c r="J614" s="87" t="s">
        <v>119</v>
      </c>
      <c r="K614" s="87" t="s">
        <v>1369</v>
      </c>
      <c r="L614" s="90" t="s">
        <v>2858</v>
      </c>
      <c r="M614" s="91" t="s">
        <v>2859</v>
      </c>
      <c r="N614" s="90" t="s">
        <v>2860</v>
      </c>
      <c r="O614" s="90" t="str">
        <f t="shared" si="68"/>
        <v>Usaquén</v>
      </c>
      <c r="P614" s="87" t="s">
        <v>428</v>
      </c>
      <c r="Q614" s="87"/>
      <c r="R614" s="87"/>
      <c r="S614" s="87"/>
      <c r="T614" s="87"/>
      <c r="U614" s="87"/>
      <c r="V614" s="90" t="str">
        <f t="shared" si="70"/>
        <v>Norte</v>
      </c>
      <c r="W614" s="87" t="s">
        <v>429</v>
      </c>
      <c r="X614" s="87"/>
      <c r="Y614" s="87"/>
      <c r="Z614" s="87"/>
      <c r="AA614" s="87"/>
      <c r="AB614" s="87"/>
      <c r="AC614" s="90" t="str">
        <f t="shared" si="71"/>
        <v>Usaquén, Toberín, Torca, Cerros Orientales</v>
      </c>
      <c r="AD614" s="87" t="s">
        <v>428</v>
      </c>
      <c r="AE614" s="87" t="s">
        <v>527</v>
      </c>
      <c r="AF614" s="87" t="s">
        <v>528</v>
      </c>
      <c r="AG614" s="87" t="s">
        <v>222</v>
      </c>
      <c r="AH614" s="87"/>
      <c r="AI614" s="87"/>
      <c r="AJ614" s="87"/>
      <c r="AK614" s="87"/>
      <c r="AL614" s="87"/>
      <c r="AM614" s="87"/>
      <c r="AN614" s="90" t="s">
        <v>428</v>
      </c>
      <c r="AO614" s="90" t="s">
        <v>2861</v>
      </c>
      <c r="AP614" s="82"/>
      <c r="AQ614" s="87" t="s">
        <v>59</v>
      </c>
      <c r="AR614" s="87" t="s">
        <v>80</v>
      </c>
      <c r="AS614" s="82"/>
      <c r="AT614" s="87">
        <v>9</v>
      </c>
      <c r="AU614" s="87">
        <v>1</v>
      </c>
      <c r="AV614" s="87">
        <f t="shared" si="77"/>
        <v>10</v>
      </c>
      <c r="AW614" s="87" t="str">
        <f t="shared" si="54"/>
        <v>Ninguna</v>
      </c>
      <c r="AX614" s="87" t="s">
        <v>75</v>
      </c>
      <c r="AY614" s="87"/>
      <c r="AZ614" s="87"/>
      <c r="BA614" s="91" t="s">
        <v>2862</v>
      </c>
      <c r="BB614" s="84"/>
      <c r="BC614" s="85"/>
      <c r="BD614" s="85"/>
    </row>
    <row r="615" spans="1:56" s="86" customFormat="1" ht="46.5" customHeight="1">
      <c r="A615" s="87">
        <v>610</v>
      </c>
      <c r="B615" s="79" t="s">
        <v>2863</v>
      </c>
      <c r="C615" s="88">
        <v>45467</v>
      </c>
      <c r="D615" s="89">
        <v>0.58333333333333337</v>
      </c>
      <c r="E615" s="87" t="s">
        <v>58</v>
      </c>
      <c r="F615" s="87" t="s">
        <v>2680</v>
      </c>
      <c r="G615" s="87" t="s">
        <v>62</v>
      </c>
      <c r="H615" s="90" t="s">
        <v>2864</v>
      </c>
      <c r="I615" s="90" t="s">
        <v>128</v>
      </c>
      <c r="J615" s="87" t="s">
        <v>173</v>
      </c>
      <c r="K615" s="87"/>
      <c r="L615" s="90" t="s">
        <v>2860</v>
      </c>
      <c r="M615" s="90" t="s">
        <v>2860</v>
      </c>
      <c r="N615" s="90" t="s">
        <v>2860</v>
      </c>
      <c r="O615" s="90" t="str">
        <f t="shared" si="68"/>
        <v>Kennedy</v>
      </c>
      <c r="P615" s="87" t="s">
        <v>473</v>
      </c>
      <c r="Q615" s="87"/>
      <c r="R615" s="87"/>
      <c r="S615" s="87"/>
      <c r="T615" s="87"/>
      <c r="U615" s="87"/>
      <c r="V615" s="90" t="str">
        <f t="shared" si="70"/>
        <v>Suroccidente</v>
      </c>
      <c r="W615" s="87" t="s">
        <v>474</v>
      </c>
      <c r="X615" s="87"/>
      <c r="Y615" s="87"/>
      <c r="Z615" s="87"/>
      <c r="AA615" s="87"/>
      <c r="AB615" s="87"/>
      <c r="AC615" s="90" t="str">
        <f t="shared" si="71"/>
        <v>Kennedy, Tintal, Bosa, Edén, Porvenir, Patio Bonito</v>
      </c>
      <c r="AD615" s="87" t="s">
        <v>473</v>
      </c>
      <c r="AE615" s="87" t="s">
        <v>1134</v>
      </c>
      <c r="AF615" s="87" t="s">
        <v>472</v>
      </c>
      <c r="AG615" s="87" t="s">
        <v>704</v>
      </c>
      <c r="AH615" s="87" t="s">
        <v>705</v>
      </c>
      <c r="AI615" s="87" t="s">
        <v>639</v>
      </c>
      <c r="AJ615" s="87"/>
      <c r="AK615" s="87"/>
      <c r="AL615" s="87"/>
      <c r="AM615" s="87"/>
      <c r="AN615" s="90" t="s">
        <v>1134</v>
      </c>
      <c r="AO615" s="90" t="s">
        <v>2865</v>
      </c>
      <c r="AP615" s="82"/>
      <c r="AQ615" s="87" t="s">
        <v>59</v>
      </c>
      <c r="AR615" s="87" t="s">
        <v>80</v>
      </c>
      <c r="AS615" s="82"/>
      <c r="AT615" s="87">
        <v>5</v>
      </c>
      <c r="AU615" s="87">
        <v>3</v>
      </c>
      <c r="AV615" s="87">
        <f t="shared" si="77"/>
        <v>8</v>
      </c>
      <c r="AW615" s="87" t="str">
        <f t="shared" si="54"/>
        <v>Horarios Acordes</v>
      </c>
      <c r="AX615" s="87" t="s">
        <v>213</v>
      </c>
      <c r="AY615" s="87"/>
      <c r="AZ615" s="87"/>
      <c r="BA615" s="91" t="s">
        <v>2866</v>
      </c>
      <c r="BB615" s="84"/>
      <c r="BC615" s="85"/>
      <c r="BD615" s="85"/>
    </row>
    <row r="616" spans="1:56" s="86" customFormat="1" ht="46.5" customHeight="1">
      <c r="A616" s="78">
        <v>611</v>
      </c>
      <c r="B616" s="79" t="s">
        <v>2867</v>
      </c>
      <c r="C616" s="88">
        <v>45467</v>
      </c>
      <c r="D616" s="89">
        <v>0.58333333333333337</v>
      </c>
      <c r="E616" s="87" t="s">
        <v>58</v>
      </c>
      <c r="F616" s="87" t="s">
        <v>61</v>
      </c>
      <c r="G616" s="87" t="s">
        <v>62</v>
      </c>
      <c r="H616" s="90" t="s">
        <v>2868</v>
      </c>
      <c r="I616" s="90" t="s">
        <v>118</v>
      </c>
      <c r="J616" s="87" t="s">
        <v>70</v>
      </c>
      <c r="K616" s="87" t="s">
        <v>300</v>
      </c>
      <c r="L616" s="90" t="s">
        <v>2809</v>
      </c>
      <c r="M616" s="91" t="s">
        <v>2869</v>
      </c>
      <c r="N616" s="90" t="s">
        <v>2811</v>
      </c>
      <c r="O616" s="90" t="str">
        <f t="shared" si="68"/>
        <v>Distrital</v>
      </c>
      <c r="P616" s="87" t="s">
        <v>73</v>
      </c>
      <c r="Q616" s="87"/>
      <c r="R616" s="87"/>
      <c r="S616" s="87"/>
      <c r="T616" s="87"/>
      <c r="U616" s="87"/>
      <c r="V616" s="90" t="str">
        <f t="shared" si="70"/>
        <v>Distrital</v>
      </c>
      <c r="W616" s="87" t="s">
        <v>73</v>
      </c>
      <c r="X616" s="87"/>
      <c r="Y616" s="87"/>
      <c r="Z616" s="87"/>
      <c r="AA616" s="87"/>
      <c r="AB616" s="87"/>
      <c r="AC616" s="90" t="str">
        <f t="shared" si="71"/>
        <v>Distrital</v>
      </c>
      <c r="AD616" s="87" t="s">
        <v>73</v>
      </c>
      <c r="AE616" s="87"/>
      <c r="AF616" s="87"/>
      <c r="AG616" s="87"/>
      <c r="AH616" s="87"/>
      <c r="AI616" s="87"/>
      <c r="AJ616" s="87"/>
      <c r="AK616" s="87"/>
      <c r="AL616" s="87"/>
      <c r="AM616" s="87"/>
      <c r="AN616" s="90" t="s">
        <v>160</v>
      </c>
      <c r="AO616" s="90" t="s">
        <v>2870</v>
      </c>
      <c r="AP616" s="82"/>
      <c r="AQ616" s="87" t="s">
        <v>59</v>
      </c>
      <c r="AR616" s="87" t="s">
        <v>80</v>
      </c>
      <c r="AS616" s="82"/>
      <c r="AT616" s="87">
        <v>17</v>
      </c>
      <c r="AU616" s="87">
        <v>1</v>
      </c>
      <c r="AV616" s="87">
        <f>AT616+AU616</f>
        <v>18</v>
      </c>
      <c r="AW616" s="87" t="str">
        <f>_xlfn.TEXTJOIN(", ",TRUE,$AX616:$AZ616)</f>
        <v>No Aplica</v>
      </c>
      <c r="AX616" s="87" t="s">
        <v>78</v>
      </c>
      <c r="AY616" s="87"/>
      <c r="AZ616" s="87"/>
      <c r="BA616" s="91" t="s">
        <v>2871</v>
      </c>
      <c r="BB616" s="84"/>
      <c r="BC616" s="85"/>
      <c r="BD616" s="85"/>
    </row>
    <row r="617" spans="1:56" s="86" customFormat="1" ht="46.5" customHeight="1">
      <c r="A617" s="87">
        <v>612</v>
      </c>
      <c r="B617" s="79" t="s">
        <v>2872</v>
      </c>
      <c r="C617" s="88">
        <v>45467</v>
      </c>
      <c r="D617" s="89">
        <v>0.625</v>
      </c>
      <c r="E617" s="87" t="s">
        <v>58</v>
      </c>
      <c r="F617" s="87" t="s">
        <v>2680</v>
      </c>
      <c r="G617" s="87" t="s">
        <v>62</v>
      </c>
      <c r="H617" s="90" t="s">
        <v>2873</v>
      </c>
      <c r="I617" s="90" t="s">
        <v>128</v>
      </c>
      <c r="J617" s="87" t="s">
        <v>119</v>
      </c>
      <c r="K617" s="87" t="s">
        <v>120</v>
      </c>
      <c r="L617" s="90" t="s">
        <v>2874</v>
      </c>
      <c r="M617" s="91" t="s">
        <v>2875</v>
      </c>
      <c r="N617" s="90" t="s">
        <v>72</v>
      </c>
      <c r="O617" s="90" t="str">
        <f t="shared" si="68"/>
        <v>Usaquén</v>
      </c>
      <c r="P617" s="87" t="s">
        <v>428</v>
      </c>
      <c r="Q617" s="87"/>
      <c r="R617" s="87"/>
      <c r="S617" s="87"/>
      <c r="T617" s="87"/>
      <c r="U617" s="87"/>
      <c r="V617" s="90" t="str">
        <f t="shared" si="70"/>
        <v>Norte</v>
      </c>
      <c r="W617" s="87" t="s">
        <v>429</v>
      </c>
      <c r="X617" s="87"/>
      <c r="Y617" s="87"/>
      <c r="Z617" s="87"/>
      <c r="AA617" s="87"/>
      <c r="AB617" s="87"/>
      <c r="AC617" s="90" t="str">
        <f t="shared" si="71"/>
        <v>Usaquén, Toberín, Torca, Cerros Orientales</v>
      </c>
      <c r="AD617" s="87" t="s">
        <v>428</v>
      </c>
      <c r="AE617" s="87" t="s">
        <v>527</v>
      </c>
      <c r="AF617" s="87" t="s">
        <v>528</v>
      </c>
      <c r="AG617" s="87" t="s">
        <v>222</v>
      </c>
      <c r="AH617" s="87"/>
      <c r="AI617" s="87"/>
      <c r="AJ617" s="87"/>
      <c r="AK617" s="87"/>
      <c r="AL617" s="87"/>
      <c r="AM617" s="87"/>
      <c r="AN617" s="90" t="s">
        <v>2876</v>
      </c>
      <c r="AO617" s="90" t="s">
        <v>2877</v>
      </c>
      <c r="AP617" s="82"/>
      <c r="AQ617" s="87" t="s">
        <v>59</v>
      </c>
      <c r="AR617" s="87" t="s">
        <v>80</v>
      </c>
      <c r="AS617" s="82"/>
      <c r="AT617" s="87">
        <v>4</v>
      </c>
      <c r="AU617" s="87">
        <v>1</v>
      </c>
      <c r="AV617" s="87">
        <f t="shared" ref="AV617" si="78">AT617+AU617</f>
        <v>5</v>
      </c>
      <c r="AW617" s="87" t="str">
        <f t="shared" si="54"/>
        <v>Horarios Acordes</v>
      </c>
      <c r="AX617" s="87" t="s">
        <v>213</v>
      </c>
      <c r="AY617" s="87"/>
      <c r="AZ617" s="87"/>
      <c r="BA617" s="91" t="s">
        <v>2806</v>
      </c>
      <c r="BB617" s="84"/>
      <c r="BC617" s="85"/>
      <c r="BD617" s="85"/>
    </row>
    <row r="618" spans="1:56" s="86" customFormat="1" ht="46.5" customHeight="1">
      <c r="A618" s="78">
        <v>613</v>
      </c>
      <c r="B618" s="79" t="s">
        <v>2878</v>
      </c>
      <c r="C618" s="88">
        <v>45467</v>
      </c>
      <c r="D618" s="89">
        <v>0.66666666666666663</v>
      </c>
      <c r="E618" s="87" t="s">
        <v>58</v>
      </c>
      <c r="F618" s="87" t="s">
        <v>2680</v>
      </c>
      <c r="G618" s="87" t="s">
        <v>62</v>
      </c>
      <c r="H618" s="90" t="s">
        <v>2879</v>
      </c>
      <c r="I618" s="90" t="s">
        <v>128</v>
      </c>
      <c r="J618" s="87" t="s">
        <v>173</v>
      </c>
      <c r="K618" s="87"/>
      <c r="L618" s="90" t="s">
        <v>2860</v>
      </c>
      <c r="M618" s="90" t="s">
        <v>2860</v>
      </c>
      <c r="N618" s="90" t="s">
        <v>2860</v>
      </c>
      <c r="O618" s="90" t="str">
        <f t="shared" ref="O618:O771" si="79">_xlfn.TEXTJOIN(", ",TRUE,$P618:$T618)</f>
        <v>Kennedy</v>
      </c>
      <c r="P618" s="87" t="s">
        <v>473</v>
      </c>
      <c r="Q618" s="87"/>
      <c r="R618" s="87"/>
      <c r="S618" s="87"/>
      <c r="T618" s="87"/>
      <c r="U618" s="87"/>
      <c r="V618" s="90" t="str">
        <f t="shared" si="70"/>
        <v>Suroccidente</v>
      </c>
      <c r="W618" s="87" t="s">
        <v>474</v>
      </c>
      <c r="X618" s="87"/>
      <c r="Y618" s="87"/>
      <c r="Z618" s="87"/>
      <c r="AA618" s="87"/>
      <c r="AB618" s="87"/>
      <c r="AC618" s="90" t="str">
        <f t="shared" si="71"/>
        <v>Kennedy, Tintal, Bosa, Edén, Porvenir, Patio Bonito</v>
      </c>
      <c r="AD618" s="87" t="s">
        <v>473</v>
      </c>
      <c r="AE618" s="87" t="s">
        <v>1134</v>
      </c>
      <c r="AF618" s="87" t="s">
        <v>472</v>
      </c>
      <c r="AG618" s="87" t="s">
        <v>704</v>
      </c>
      <c r="AH618" s="87" t="s">
        <v>705</v>
      </c>
      <c r="AI618" s="87" t="s">
        <v>639</v>
      </c>
      <c r="AJ618" s="87"/>
      <c r="AK618" s="87"/>
      <c r="AL618" s="87"/>
      <c r="AM618" s="87"/>
      <c r="AN618" s="90" t="s">
        <v>1134</v>
      </c>
      <c r="AO618" s="90" t="s">
        <v>2880</v>
      </c>
      <c r="AP618" s="82"/>
      <c r="AQ618" s="87" t="s">
        <v>59</v>
      </c>
      <c r="AR618" s="87" t="s">
        <v>80</v>
      </c>
      <c r="AS618" s="82"/>
      <c r="AT618" s="87">
        <v>9</v>
      </c>
      <c r="AU618" s="87">
        <v>3</v>
      </c>
      <c r="AV618" s="87">
        <f>AT618+AU618</f>
        <v>12</v>
      </c>
      <c r="AW618" s="87" t="str">
        <f>_xlfn.TEXTJOIN(", ",TRUE,$AX618:$AZ618)</f>
        <v>Ninguna</v>
      </c>
      <c r="AX618" s="87" t="s">
        <v>75</v>
      </c>
      <c r="AY618" s="87"/>
      <c r="AZ618" s="87"/>
      <c r="BA618" s="91" t="s">
        <v>2881</v>
      </c>
      <c r="BB618" s="84"/>
      <c r="BC618" s="85"/>
      <c r="BD618" s="85"/>
    </row>
    <row r="619" spans="1:56" s="86" customFormat="1" ht="46.5" customHeight="1">
      <c r="A619" s="87">
        <v>614</v>
      </c>
      <c r="B619" s="79" t="s">
        <v>2882</v>
      </c>
      <c r="C619" s="88">
        <v>45468</v>
      </c>
      <c r="D619" s="89" t="s">
        <v>2883</v>
      </c>
      <c r="E619" s="87" t="s">
        <v>58</v>
      </c>
      <c r="F619" s="87" t="s">
        <v>2445</v>
      </c>
      <c r="G619" s="87" t="s">
        <v>62</v>
      </c>
      <c r="H619" s="90" t="s">
        <v>2884</v>
      </c>
      <c r="I619" s="90" t="s">
        <v>64</v>
      </c>
      <c r="J619" s="87" t="s">
        <v>70</v>
      </c>
      <c r="K619" s="87" t="s">
        <v>71</v>
      </c>
      <c r="L619" s="90" t="s">
        <v>2885</v>
      </c>
      <c r="M619" s="91" t="s">
        <v>2886</v>
      </c>
      <c r="N619" s="90" t="s">
        <v>2887</v>
      </c>
      <c r="O619" s="90" t="str">
        <f t="shared" si="79"/>
        <v>Distrital</v>
      </c>
      <c r="P619" s="87" t="s">
        <v>73</v>
      </c>
      <c r="Q619" s="87"/>
      <c r="R619" s="87"/>
      <c r="S619" s="87"/>
      <c r="T619" s="87"/>
      <c r="U619" s="87"/>
      <c r="V619" s="90" t="str">
        <f t="shared" si="70"/>
        <v>Distrital</v>
      </c>
      <c r="W619" s="87" t="s">
        <v>73</v>
      </c>
      <c r="X619" s="87"/>
      <c r="Y619" s="87"/>
      <c r="Z619" s="87"/>
      <c r="AA619" s="87"/>
      <c r="AB619" s="87"/>
      <c r="AC619" s="90" t="str">
        <f t="shared" si="71"/>
        <v>Distrital</v>
      </c>
      <c r="AD619" s="87" t="s">
        <v>73</v>
      </c>
      <c r="AE619" s="87"/>
      <c r="AF619" s="87"/>
      <c r="AG619" s="87"/>
      <c r="AH619" s="87"/>
      <c r="AI619" s="87"/>
      <c r="AJ619" s="87"/>
      <c r="AK619" s="87"/>
      <c r="AL619" s="87"/>
      <c r="AM619" s="87"/>
      <c r="AN619" s="90" t="s">
        <v>2888</v>
      </c>
      <c r="AO619" s="90" t="s">
        <v>2889</v>
      </c>
      <c r="AP619" s="82"/>
      <c r="AQ619" s="87" t="s">
        <v>59</v>
      </c>
      <c r="AR619" s="87" t="s">
        <v>80</v>
      </c>
      <c r="AS619" s="82"/>
      <c r="AT619" s="87">
        <v>23</v>
      </c>
      <c r="AU619" s="87">
        <v>1</v>
      </c>
      <c r="AV619" s="87">
        <f t="shared" ref="AV619" si="80">AT619+AU619</f>
        <v>24</v>
      </c>
      <c r="AW619" s="87" t="str">
        <f t="shared" si="54"/>
        <v>Ninguna</v>
      </c>
      <c r="AX619" s="87" t="s">
        <v>75</v>
      </c>
      <c r="AY619" s="87"/>
      <c r="AZ619" s="87"/>
      <c r="BA619" s="91" t="s">
        <v>2890</v>
      </c>
      <c r="BB619" s="84"/>
      <c r="BC619" s="85"/>
      <c r="BD619" s="85"/>
    </row>
    <row r="620" spans="1:56" s="86" customFormat="1" ht="46.5" customHeight="1">
      <c r="A620" s="78">
        <v>615</v>
      </c>
      <c r="B620" s="79" t="s">
        <v>2891</v>
      </c>
      <c r="C620" s="88">
        <v>45467</v>
      </c>
      <c r="D620" s="89">
        <v>0.70833333333333337</v>
      </c>
      <c r="E620" s="87" t="s">
        <v>93</v>
      </c>
      <c r="F620" s="87" t="s">
        <v>102</v>
      </c>
      <c r="G620" s="87" t="s">
        <v>95</v>
      </c>
      <c r="H620" s="90" t="s">
        <v>2892</v>
      </c>
      <c r="I620" s="90" t="s">
        <v>118</v>
      </c>
      <c r="J620" s="87" t="s">
        <v>119</v>
      </c>
      <c r="K620" s="87" t="s">
        <v>129</v>
      </c>
      <c r="L620" s="90" t="s">
        <v>2893</v>
      </c>
      <c r="M620" s="91" t="s">
        <v>2894</v>
      </c>
      <c r="N620" s="90" t="s">
        <v>2895</v>
      </c>
      <c r="O620" s="90" t="str">
        <f t="shared" si="79"/>
        <v>Distrital</v>
      </c>
      <c r="P620" s="87" t="s">
        <v>73</v>
      </c>
      <c r="Q620" s="87"/>
      <c r="R620" s="87"/>
      <c r="S620" s="87"/>
      <c r="T620" s="87"/>
      <c r="U620" s="87"/>
      <c r="V620" s="90" t="str">
        <f t="shared" si="70"/>
        <v>Distrital</v>
      </c>
      <c r="W620" s="87" t="s">
        <v>73</v>
      </c>
      <c r="X620" s="87"/>
      <c r="Y620" s="87"/>
      <c r="Z620" s="87"/>
      <c r="AA620" s="87"/>
      <c r="AB620" s="87"/>
      <c r="AC620" s="90" t="str">
        <f t="shared" si="71"/>
        <v>Distrital</v>
      </c>
      <c r="AD620" s="87" t="s">
        <v>73</v>
      </c>
      <c r="AE620" s="87"/>
      <c r="AF620" s="87"/>
      <c r="AG620" s="87"/>
      <c r="AH620" s="87"/>
      <c r="AI620" s="87"/>
      <c r="AJ620" s="87"/>
      <c r="AK620" s="87"/>
      <c r="AL620" s="87"/>
      <c r="AM620" s="87"/>
      <c r="AN620" s="90" t="s">
        <v>160</v>
      </c>
      <c r="AO620" s="102" t="s">
        <v>2638</v>
      </c>
      <c r="AP620" s="82"/>
      <c r="AQ620" s="87" t="s">
        <v>59</v>
      </c>
      <c r="AR620" s="87" t="s">
        <v>80</v>
      </c>
      <c r="AS620" s="82"/>
      <c r="AT620" s="87">
        <v>11</v>
      </c>
      <c r="AU620" s="87">
        <v>1</v>
      </c>
      <c r="AV620" s="87">
        <f t="shared" ref="AV620:AV621" si="81">AT620+AU620</f>
        <v>12</v>
      </c>
      <c r="AW620" s="87" t="str">
        <f t="shared" si="54"/>
        <v>Ninguna</v>
      </c>
      <c r="AX620" s="87" t="s">
        <v>75</v>
      </c>
      <c r="AY620" s="87"/>
      <c r="AZ620" s="87"/>
      <c r="BA620" s="91" t="s">
        <v>2896</v>
      </c>
      <c r="BB620" s="84"/>
      <c r="BC620" s="85"/>
      <c r="BD620" s="85"/>
    </row>
    <row r="621" spans="1:56" s="86" customFormat="1" ht="46.5" customHeight="1">
      <c r="A621" s="87">
        <v>616</v>
      </c>
      <c r="B621" s="79" t="s">
        <v>2897</v>
      </c>
      <c r="C621" s="88">
        <v>45468</v>
      </c>
      <c r="D621" s="89">
        <v>0.35416666666666669</v>
      </c>
      <c r="E621" s="87" t="s">
        <v>58</v>
      </c>
      <c r="F621" s="87" t="s">
        <v>2680</v>
      </c>
      <c r="G621" s="87" t="s">
        <v>62</v>
      </c>
      <c r="H621" s="90" t="s">
        <v>2898</v>
      </c>
      <c r="I621" s="90" t="s">
        <v>128</v>
      </c>
      <c r="J621" s="87" t="s">
        <v>119</v>
      </c>
      <c r="K621" s="87" t="s">
        <v>120</v>
      </c>
      <c r="L621" s="90" t="s">
        <v>72</v>
      </c>
      <c r="M621" s="91" t="s">
        <v>72</v>
      </c>
      <c r="N621" s="90" t="s">
        <v>72</v>
      </c>
      <c r="O621" s="90" t="str">
        <f t="shared" si="79"/>
        <v>Antonio Nariño</v>
      </c>
      <c r="P621" s="87" t="s">
        <v>413</v>
      </c>
      <c r="Q621" s="87"/>
      <c r="R621" s="87"/>
      <c r="S621" s="87"/>
      <c r="T621" s="87"/>
      <c r="U621" s="87"/>
      <c r="V621" s="90" t="str">
        <f t="shared" ref="V621:V771" si="82">_xlfn.TEXTJOIN(", ",TRUE,$W621:$AB621)</f>
        <v>Centro Ampliado</v>
      </c>
      <c r="W621" s="87" t="s">
        <v>415</v>
      </c>
      <c r="X621" s="87"/>
      <c r="Y621" s="87"/>
      <c r="Z621" s="87"/>
      <c r="AA621" s="87"/>
      <c r="AB621" s="87"/>
      <c r="AC621" s="90" t="str">
        <f t="shared" ref="AC621:AC771" si="83">_xlfn.TEXTJOIN(", ",TRUE,$AD621:$AM621)</f>
        <v>Restrepo</v>
      </c>
      <c r="AD621" s="87" t="s">
        <v>416</v>
      </c>
      <c r="AE621" s="87"/>
      <c r="AF621" s="87"/>
      <c r="AG621" s="87"/>
      <c r="AH621" s="87"/>
      <c r="AI621" s="87"/>
      <c r="AJ621" s="87"/>
      <c r="AK621" s="87"/>
      <c r="AL621" s="87"/>
      <c r="AM621" s="87"/>
      <c r="AN621" s="90" t="s">
        <v>2899</v>
      </c>
      <c r="AO621" s="90" t="s">
        <v>2900</v>
      </c>
      <c r="AP621" s="82"/>
      <c r="AQ621" s="87" t="s">
        <v>59</v>
      </c>
      <c r="AR621" s="87" t="s">
        <v>80</v>
      </c>
      <c r="AS621" s="82"/>
      <c r="AT621" s="87">
        <v>4</v>
      </c>
      <c r="AU621" s="87">
        <v>1</v>
      </c>
      <c r="AV621" s="87">
        <f t="shared" si="81"/>
        <v>5</v>
      </c>
      <c r="AW621" s="87" t="str">
        <f t="shared" si="54"/>
        <v>Horarios Acordes</v>
      </c>
      <c r="AX621" s="87" t="s">
        <v>213</v>
      </c>
      <c r="AY621" s="87"/>
      <c r="AZ621" s="87"/>
      <c r="BA621" s="91" t="s">
        <v>2901</v>
      </c>
      <c r="BB621" s="84"/>
      <c r="BC621" s="85"/>
      <c r="BD621" s="85"/>
    </row>
    <row r="622" spans="1:56" s="86" customFormat="1" ht="46.5" customHeight="1">
      <c r="A622" s="78">
        <v>617</v>
      </c>
      <c r="B622" s="79" t="s">
        <v>2902</v>
      </c>
      <c r="C622" s="88">
        <v>45468</v>
      </c>
      <c r="D622" s="89">
        <v>0.4375</v>
      </c>
      <c r="E622" s="87" t="s">
        <v>58</v>
      </c>
      <c r="F622" s="87" t="s">
        <v>2121</v>
      </c>
      <c r="G622" s="87" t="s">
        <v>62</v>
      </c>
      <c r="H622" s="90" t="s">
        <v>2903</v>
      </c>
      <c r="I622" s="90" t="s">
        <v>64</v>
      </c>
      <c r="J622" s="87" t="s">
        <v>70</v>
      </c>
      <c r="K622" s="87" t="s">
        <v>71</v>
      </c>
      <c r="L622" s="90" t="s">
        <v>762</v>
      </c>
      <c r="M622" s="91" t="s">
        <v>2904</v>
      </c>
      <c r="N622" s="90" t="s">
        <v>2905</v>
      </c>
      <c r="O622" s="90" t="str">
        <f t="shared" si="79"/>
        <v>Distrital</v>
      </c>
      <c r="P622" s="87" t="s">
        <v>73</v>
      </c>
      <c r="Q622" s="87"/>
      <c r="R622" s="87"/>
      <c r="S622" s="87"/>
      <c r="T622" s="87"/>
      <c r="U622" s="87"/>
      <c r="V622" s="90" t="str">
        <f t="shared" si="82"/>
        <v>Distrital</v>
      </c>
      <c r="W622" s="87" t="s">
        <v>73</v>
      </c>
      <c r="X622" s="87"/>
      <c r="Y622" s="87"/>
      <c r="Z622" s="87"/>
      <c r="AA622" s="87"/>
      <c r="AB622" s="87"/>
      <c r="AC622" s="90" t="str">
        <f t="shared" si="83"/>
        <v>Distrital</v>
      </c>
      <c r="AD622" s="87" t="s">
        <v>73</v>
      </c>
      <c r="AE622" s="87"/>
      <c r="AF622" s="87"/>
      <c r="AG622" s="87"/>
      <c r="AH622" s="87"/>
      <c r="AI622" s="87"/>
      <c r="AJ622" s="87"/>
      <c r="AK622" s="87"/>
      <c r="AL622" s="87"/>
      <c r="AM622" s="87"/>
      <c r="AN622" s="90" t="s">
        <v>160</v>
      </c>
      <c r="AO622" s="90" t="s">
        <v>2906</v>
      </c>
      <c r="AP622" s="82"/>
      <c r="AQ622" s="87" t="s">
        <v>59</v>
      </c>
      <c r="AR622" s="87" t="s">
        <v>80</v>
      </c>
      <c r="AS622" s="82"/>
      <c r="AT622" s="87">
        <v>0</v>
      </c>
      <c r="AU622" s="87">
        <v>5</v>
      </c>
      <c r="AV622" s="87">
        <f>AT622+AU622</f>
        <v>5</v>
      </c>
      <c r="AW622" s="87" t="str">
        <f>_xlfn.TEXTJOIN(", ",TRUE,$AX622:$AZ622)</f>
        <v>Ninguna</v>
      </c>
      <c r="AX622" s="87" t="s">
        <v>75</v>
      </c>
      <c r="AY622" s="87"/>
      <c r="AZ622" s="87"/>
      <c r="BA622" s="91" t="s">
        <v>2907</v>
      </c>
      <c r="BB622" s="84"/>
      <c r="BC622" s="85"/>
      <c r="BD622" s="85"/>
    </row>
    <row r="623" spans="1:56" s="86" customFormat="1" ht="46.5" customHeight="1">
      <c r="A623" s="87">
        <v>618</v>
      </c>
      <c r="B623" s="79" t="s">
        <v>2908</v>
      </c>
      <c r="C623" s="88">
        <v>45468</v>
      </c>
      <c r="D623" s="89">
        <v>0.4375</v>
      </c>
      <c r="E623" s="87" t="s">
        <v>58</v>
      </c>
      <c r="F623" s="87" t="s">
        <v>1750</v>
      </c>
      <c r="G623" s="87" t="s">
        <v>62</v>
      </c>
      <c r="H623" s="90" t="s">
        <v>2909</v>
      </c>
      <c r="I623" s="90" t="s">
        <v>118</v>
      </c>
      <c r="J623" s="87" t="s">
        <v>70</v>
      </c>
      <c r="K623" s="87" t="s">
        <v>71</v>
      </c>
      <c r="L623" s="90" t="s">
        <v>2910</v>
      </c>
      <c r="M623" s="91" t="s">
        <v>2911</v>
      </c>
      <c r="N623" s="90" t="s">
        <v>2912</v>
      </c>
      <c r="O623" s="90" t="str">
        <f t="shared" si="79"/>
        <v>Distrital</v>
      </c>
      <c r="P623" s="87" t="s">
        <v>73</v>
      </c>
      <c r="Q623" s="87"/>
      <c r="R623" s="87"/>
      <c r="S623" s="87"/>
      <c r="T623" s="87"/>
      <c r="U623" s="87"/>
      <c r="V623" s="90" t="str">
        <f t="shared" si="82"/>
        <v>Distrital</v>
      </c>
      <c r="W623" s="87" t="s">
        <v>73</v>
      </c>
      <c r="X623" s="87"/>
      <c r="Y623" s="87"/>
      <c r="Z623" s="87"/>
      <c r="AA623" s="87"/>
      <c r="AB623" s="87"/>
      <c r="AC623" s="90" t="str">
        <f t="shared" si="83"/>
        <v>Distrital</v>
      </c>
      <c r="AD623" s="87" t="s">
        <v>73</v>
      </c>
      <c r="AE623" s="87"/>
      <c r="AF623" s="87"/>
      <c r="AG623" s="87"/>
      <c r="AH623" s="87"/>
      <c r="AI623" s="87"/>
      <c r="AJ623" s="87"/>
      <c r="AK623" s="87"/>
      <c r="AL623" s="87"/>
      <c r="AM623" s="87"/>
      <c r="AN623" s="90" t="s">
        <v>160</v>
      </c>
      <c r="AO623" s="90" t="s">
        <v>2913</v>
      </c>
      <c r="AP623" s="82"/>
      <c r="AQ623" s="87" t="s">
        <v>59</v>
      </c>
      <c r="AR623" s="87" t="s">
        <v>80</v>
      </c>
      <c r="AS623" s="82"/>
      <c r="AT623" s="87">
        <v>6</v>
      </c>
      <c r="AU623" s="87">
        <v>6</v>
      </c>
      <c r="AV623" s="87">
        <f t="shared" ref="AV623:AV626" si="84">AT623+AU623</f>
        <v>12</v>
      </c>
      <c r="AW623" s="87" t="str">
        <f t="shared" si="54"/>
        <v>Contenidos adaptados</v>
      </c>
      <c r="AX623" s="87" t="s">
        <v>212</v>
      </c>
      <c r="AY623" s="87"/>
      <c r="AZ623" s="87"/>
      <c r="BA623" s="91" t="s">
        <v>2914</v>
      </c>
      <c r="BB623" s="84"/>
      <c r="BC623" s="85"/>
      <c r="BD623" s="85"/>
    </row>
    <row r="624" spans="1:56" s="86" customFormat="1" ht="46.5" customHeight="1">
      <c r="A624" s="78">
        <v>619</v>
      </c>
      <c r="B624" s="79" t="s">
        <v>2915</v>
      </c>
      <c r="C624" s="88">
        <v>45468</v>
      </c>
      <c r="D624" s="89">
        <v>0.4375</v>
      </c>
      <c r="E624" s="87" t="s">
        <v>58</v>
      </c>
      <c r="F624" s="87" t="s">
        <v>2680</v>
      </c>
      <c r="G624" s="87" t="s">
        <v>62</v>
      </c>
      <c r="H624" s="90" t="s">
        <v>2898</v>
      </c>
      <c r="I624" s="90" t="s">
        <v>128</v>
      </c>
      <c r="J624" s="87" t="s">
        <v>119</v>
      </c>
      <c r="K624" s="87" t="s">
        <v>120</v>
      </c>
      <c r="L624" s="90" t="s">
        <v>72</v>
      </c>
      <c r="M624" s="91" t="s">
        <v>72</v>
      </c>
      <c r="N624" s="90" t="s">
        <v>72</v>
      </c>
      <c r="O624" s="90" t="str">
        <f t="shared" si="79"/>
        <v>La Candelaria</v>
      </c>
      <c r="P624" s="87" t="s">
        <v>487</v>
      </c>
      <c r="Q624" s="87"/>
      <c r="R624" s="87"/>
      <c r="S624" s="87"/>
      <c r="T624" s="87"/>
      <c r="U624" s="87"/>
      <c r="V624" s="90" t="str">
        <f t="shared" si="82"/>
        <v>Centro Ampliado</v>
      </c>
      <c r="W624" s="87" t="s">
        <v>415</v>
      </c>
      <c r="X624" s="87"/>
      <c r="Y624" s="87"/>
      <c r="Z624" s="87"/>
      <c r="AA624" s="87"/>
      <c r="AB624" s="87"/>
      <c r="AC624" s="90" t="str">
        <f t="shared" si="83"/>
        <v>Centro Histórico</v>
      </c>
      <c r="AD624" s="87" t="s">
        <v>488</v>
      </c>
      <c r="AE624" s="87"/>
      <c r="AF624" s="87"/>
      <c r="AG624" s="87"/>
      <c r="AH624" s="87"/>
      <c r="AI624" s="87"/>
      <c r="AJ624" s="87"/>
      <c r="AK624" s="87"/>
      <c r="AL624" s="87"/>
      <c r="AM624" s="87"/>
      <c r="AN624" s="90" t="s">
        <v>2916</v>
      </c>
      <c r="AO624" s="90" t="s">
        <v>2917</v>
      </c>
      <c r="AP624" s="82"/>
      <c r="AQ624" s="87" t="s">
        <v>59</v>
      </c>
      <c r="AR624" s="87" t="s">
        <v>80</v>
      </c>
      <c r="AS624" s="82"/>
      <c r="AT624" s="87">
        <v>3</v>
      </c>
      <c r="AU624" s="87">
        <v>1</v>
      </c>
      <c r="AV624" s="87">
        <f t="shared" si="84"/>
        <v>4</v>
      </c>
      <c r="AW624" s="87" t="str">
        <f t="shared" si="54"/>
        <v>Horarios Acordes</v>
      </c>
      <c r="AX624" s="87" t="s">
        <v>213</v>
      </c>
      <c r="AY624" s="87"/>
      <c r="AZ624" s="87"/>
      <c r="BA624" s="91" t="s">
        <v>2901</v>
      </c>
      <c r="BB624" s="84"/>
      <c r="BC624" s="85"/>
      <c r="BD624" s="85"/>
    </row>
    <row r="625" spans="1:56" s="86" customFormat="1" ht="46.5" customHeight="1">
      <c r="A625" s="87">
        <v>620</v>
      </c>
      <c r="B625" s="79" t="s">
        <v>2918</v>
      </c>
      <c r="C625" s="88">
        <v>45468</v>
      </c>
      <c r="D625" s="89">
        <v>0.45833333333333331</v>
      </c>
      <c r="E625" s="87" t="s">
        <v>93</v>
      </c>
      <c r="F625" s="87" t="s">
        <v>321</v>
      </c>
      <c r="G625" s="87" t="s">
        <v>62</v>
      </c>
      <c r="H625" s="90" t="s">
        <v>2919</v>
      </c>
      <c r="I625" s="90" t="s">
        <v>64</v>
      </c>
      <c r="J625" s="87" t="s">
        <v>70</v>
      </c>
      <c r="K625" s="87" t="s">
        <v>1810</v>
      </c>
      <c r="L625" s="90" t="s">
        <v>2920</v>
      </c>
      <c r="M625" s="91" t="s">
        <v>72</v>
      </c>
      <c r="N625" s="90" t="s">
        <v>486</v>
      </c>
      <c r="O625" s="90" t="str">
        <f t="shared" si="79"/>
        <v>Los Mártires</v>
      </c>
      <c r="P625" s="87" t="s">
        <v>542</v>
      </c>
      <c r="Q625" s="87"/>
      <c r="R625" s="87"/>
      <c r="S625" s="87"/>
      <c r="T625" s="87"/>
      <c r="U625" s="87"/>
      <c r="V625" s="90" t="str">
        <f t="shared" si="82"/>
        <v>Centro Ampliado</v>
      </c>
      <c r="W625" s="87" t="s">
        <v>415</v>
      </c>
      <c r="X625" s="87"/>
      <c r="Y625" s="87"/>
      <c r="Z625" s="87"/>
      <c r="AA625" s="87"/>
      <c r="AB625" s="87"/>
      <c r="AC625" s="90" t="str">
        <f t="shared" si="83"/>
        <v>Centro Histórico</v>
      </c>
      <c r="AD625" s="87" t="s">
        <v>488</v>
      </c>
      <c r="AE625" s="87"/>
      <c r="AF625" s="87"/>
      <c r="AG625" s="87"/>
      <c r="AH625" s="87"/>
      <c r="AI625" s="87"/>
      <c r="AJ625" s="87"/>
      <c r="AK625" s="87"/>
      <c r="AL625" s="87"/>
      <c r="AM625" s="87"/>
      <c r="AN625" s="90" t="s">
        <v>2339</v>
      </c>
      <c r="AO625" s="90" t="s">
        <v>2921</v>
      </c>
      <c r="AP625" s="82"/>
      <c r="AQ625" s="87" t="s">
        <v>59</v>
      </c>
      <c r="AR625" s="87" t="s">
        <v>80</v>
      </c>
      <c r="AS625" s="82"/>
      <c r="AT625" s="87">
        <v>13</v>
      </c>
      <c r="AU625" s="87">
        <v>1</v>
      </c>
      <c r="AV625" s="87">
        <f t="shared" si="84"/>
        <v>14</v>
      </c>
      <c r="AW625" s="87" t="str">
        <f t="shared" si="54"/>
        <v>Ninguna</v>
      </c>
      <c r="AX625" s="87" t="s">
        <v>75</v>
      </c>
      <c r="AY625" s="87"/>
      <c r="AZ625" s="87"/>
      <c r="BA625" s="91" t="s">
        <v>2922</v>
      </c>
      <c r="BB625" s="84"/>
      <c r="BC625" s="85"/>
      <c r="BD625" s="85"/>
    </row>
    <row r="626" spans="1:56" s="86" customFormat="1" ht="46.5" customHeight="1">
      <c r="A626" s="78">
        <v>621</v>
      </c>
      <c r="B626" s="79" t="s">
        <v>2923</v>
      </c>
      <c r="C626" s="88">
        <v>45468</v>
      </c>
      <c r="D626" s="89">
        <v>0.64583333333333337</v>
      </c>
      <c r="E626" s="87" t="s">
        <v>58</v>
      </c>
      <c r="F626" s="87" t="s">
        <v>2680</v>
      </c>
      <c r="G626" s="87" t="s">
        <v>62</v>
      </c>
      <c r="H626" s="90" t="s">
        <v>2924</v>
      </c>
      <c r="I626" s="90" t="s">
        <v>128</v>
      </c>
      <c r="J626" s="87" t="s">
        <v>119</v>
      </c>
      <c r="K626" s="87" t="s">
        <v>120</v>
      </c>
      <c r="L626" s="90" t="s">
        <v>2925</v>
      </c>
      <c r="M626" s="91" t="s">
        <v>2926</v>
      </c>
      <c r="N626" s="90" t="s">
        <v>72</v>
      </c>
      <c r="O626" s="90" t="str">
        <f t="shared" si="79"/>
        <v>Suba</v>
      </c>
      <c r="P626" s="87" t="s">
        <v>394</v>
      </c>
      <c r="Q626" s="87"/>
      <c r="R626" s="87"/>
      <c r="S626" s="87"/>
      <c r="T626" s="87"/>
      <c r="U626" s="87"/>
      <c r="V626" s="90" t="str">
        <f t="shared" si="82"/>
        <v>Norte</v>
      </c>
      <c r="W626" s="87" t="s">
        <v>429</v>
      </c>
      <c r="X626" s="87"/>
      <c r="Y626" s="87"/>
      <c r="Z626" s="87"/>
      <c r="AA626" s="87"/>
      <c r="AB626" s="87"/>
      <c r="AC626" s="90" t="str">
        <f t="shared" si="83"/>
        <v>Suba, Suba Rincón, Tibabuyes, Niza, Britalia, Torca</v>
      </c>
      <c r="AD626" s="87" t="s">
        <v>394</v>
      </c>
      <c r="AE626" s="87" t="s">
        <v>396</v>
      </c>
      <c r="AF626" s="87" t="s">
        <v>924</v>
      </c>
      <c r="AG626" s="87" t="s">
        <v>571</v>
      </c>
      <c r="AH626" s="87" t="s">
        <v>876</v>
      </c>
      <c r="AI626" s="87" t="s">
        <v>528</v>
      </c>
      <c r="AJ626" s="87"/>
      <c r="AK626" s="87"/>
      <c r="AL626" s="87"/>
      <c r="AM626" s="87"/>
      <c r="AN626" s="90" t="s">
        <v>160</v>
      </c>
      <c r="AO626" s="90" t="s">
        <v>2927</v>
      </c>
      <c r="AP626" s="82"/>
      <c r="AQ626" s="87" t="s">
        <v>59</v>
      </c>
      <c r="AR626" s="87" t="s">
        <v>80</v>
      </c>
      <c r="AS626" s="82"/>
      <c r="AT626" s="87">
        <v>1</v>
      </c>
      <c r="AU626" s="87">
        <v>2</v>
      </c>
      <c r="AV626" s="87">
        <f t="shared" si="84"/>
        <v>3</v>
      </c>
      <c r="AW626" s="87" t="str">
        <f t="shared" si="54"/>
        <v>Ninguna</v>
      </c>
      <c r="AX626" s="87" t="s">
        <v>75</v>
      </c>
      <c r="AY626" s="87"/>
      <c r="AZ626" s="87"/>
      <c r="BA626" s="91" t="s">
        <v>2928</v>
      </c>
      <c r="BB626" s="84"/>
      <c r="BC626" s="85"/>
      <c r="BD626" s="85"/>
    </row>
    <row r="627" spans="1:56" s="86" customFormat="1" ht="46.5" customHeight="1">
      <c r="A627" s="87">
        <v>622</v>
      </c>
      <c r="B627" s="79" t="s">
        <v>2929</v>
      </c>
      <c r="C627" s="88">
        <v>45468</v>
      </c>
      <c r="D627" s="89">
        <v>0.6875</v>
      </c>
      <c r="E627" s="87" t="s">
        <v>58</v>
      </c>
      <c r="F627" s="87" t="s">
        <v>2680</v>
      </c>
      <c r="G627" s="87" t="s">
        <v>95</v>
      </c>
      <c r="H627" s="90" t="s">
        <v>2930</v>
      </c>
      <c r="I627" s="90" t="s">
        <v>128</v>
      </c>
      <c r="J627" s="87" t="s">
        <v>119</v>
      </c>
      <c r="K627" s="87" t="s">
        <v>217</v>
      </c>
      <c r="L627" s="90" t="s">
        <v>2931</v>
      </c>
      <c r="M627" s="91" t="s">
        <v>2932</v>
      </c>
      <c r="N627" s="90" t="s">
        <v>2933</v>
      </c>
      <c r="O627" s="90" t="str">
        <f t="shared" si="79"/>
        <v>Usaquén</v>
      </c>
      <c r="P627" s="87" t="s">
        <v>428</v>
      </c>
      <c r="Q627" s="87"/>
      <c r="R627" s="87"/>
      <c r="S627" s="87"/>
      <c r="T627" s="87"/>
      <c r="U627" s="87"/>
      <c r="V627" s="90" t="str">
        <f t="shared" si="82"/>
        <v>Norte</v>
      </c>
      <c r="W627" s="87" t="s">
        <v>429</v>
      </c>
      <c r="X627" s="87"/>
      <c r="Y627" s="87"/>
      <c r="Z627" s="87"/>
      <c r="AA627" s="87"/>
      <c r="AB627" s="87"/>
      <c r="AC627" s="90" t="str">
        <f t="shared" si="83"/>
        <v>Usaquén, Toberín, Torca, Cerros Orientales</v>
      </c>
      <c r="AD627" s="87" t="s">
        <v>428</v>
      </c>
      <c r="AE627" s="87" t="s">
        <v>527</v>
      </c>
      <c r="AF627" s="87" t="s">
        <v>528</v>
      </c>
      <c r="AG627" s="87" t="s">
        <v>222</v>
      </c>
      <c r="AH627" s="87"/>
      <c r="AI627" s="87"/>
      <c r="AJ627" s="87"/>
      <c r="AK627" s="87"/>
      <c r="AL627" s="87"/>
      <c r="AM627" s="87"/>
      <c r="AN627" s="90" t="s">
        <v>428</v>
      </c>
      <c r="AO627" s="102" t="s">
        <v>2638</v>
      </c>
      <c r="AP627" s="82"/>
      <c r="AQ627" s="87" t="s">
        <v>59</v>
      </c>
      <c r="AR627" s="87" t="s">
        <v>80</v>
      </c>
      <c r="AS627" s="82"/>
      <c r="AT627" s="87">
        <v>13</v>
      </c>
      <c r="AU627" s="87">
        <v>2</v>
      </c>
      <c r="AV627" s="87">
        <f t="shared" ref="AV627:AV633" si="85">AT627+AU627</f>
        <v>15</v>
      </c>
      <c r="AW627" s="87" t="str">
        <f t="shared" si="54"/>
        <v>Ninguna</v>
      </c>
      <c r="AX627" s="87" t="s">
        <v>75</v>
      </c>
      <c r="AY627" s="87"/>
      <c r="AZ627" s="87"/>
      <c r="BA627" s="91" t="s">
        <v>2934</v>
      </c>
      <c r="BB627" s="84"/>
      <c r="BC627" s="85"/>
      <c r="BD627" s="85"/>
    </row>
    <row r="628" spans="1:56" s="86" customFormat="1" ht="46.5" customHeight="1">
      <c r="A628" s="78">
        <v>623</v>
      </c>
      <c r="B628" s="79" t="s">
        <v>2935</v>
      </c>
      <c r="C628" s="88">
        <v>45468</v>
      </c>
      <c r="D628" s="89">
        <v>0.70833333333333337</v>
      </c>
      <c r="E628" s="87" t="s">
        <v>58</v>
      </c>
      <c r="F628" s="87" t="s">
        <v>102</v>
      </c>
      <c r="G628" s="87" t="s">
        <v>62</v>
      </c>
      <c r="H628" s="90" t="s">
        <v>2936</v>
      </c>
      <c r="I628" s="90" t="s">
        <v>118</v>
      </c>
      <c r="J628" s="87" t="s">
        <v>70</v>
      </c>
      <c r="K628" s="87" t="s">
        <v>129</v>
      </c>
      <c r="L628" s="90" t="s">
        <v>407</v>
      </c>
      <c r="M628" s="91" t="s">
        <v>2635</v>
      </c>
      <c r="N628" s="90" t="s">
        <v>439</v>
      </c>
      <c r="O628" s="90" t="str">
        <f t="shared" si="79"/>
        <v>Distrital</v>
      </c>
      <c r="P628" s="87" t="s">
        <v>73</v>
      </c>
      <c r="Q628" s="87"/>
      <c r="R628" s="87"/>
      <c r="S628" s="87"/>
      <c r="T628" s="87"/>
      <c r="U628" s="87"/>
      <c r="V628" s="90" t="str">
        <f t="shared" si="82"/>
        <v>Distrital</v>
      </c>
      <c r="W628" s="87" t="s">
        <v>73</v>
      </c>
      <c r="X628" s="87"/>
      <c r="Y628" s="87"/>
      <c r="Z628" s="87"/>
      <c r="AA628" s="87"/>
      <c r="AB628" s="87"/>
      <c r="AC628" s="90" t="str">
        <f t="shared" si="83"/>
        <v>Distrital</v>
      </c>
      <c r="AD628" s="87" t="s">
        <v>73</v>
      </c>
      <c r="AE628" s="87"/>
      <c r="AF628" s="87"/>
      <c r="AG628" s="87"/>
      <c r="AH628" s="87"/>
      <c r="AI628" s="87"/>
      <c r="AJ628" s="87"/>
      <c r="AK628" s="87"/>
      <c r="AL628" s="87"/>
      <c r="AM628" s="87"/>
      <c r="AN628" s="90" t="s">
        <v>160</v>
      </c>
      <c r="AO628" s="90" t="s">
        <v>2937</v>
      </c>
      <c r="AP628" s="82"/>
      <c r="AQ628" s="87" t="s">
        <v>59</v>
      </c>
      <c r="AR628" s="87" t="s">
        <v>80</v>
      </c>
      <c r="AS628" s="82"/>
      <c r="AT628" s="87">
        <v>6</v>
      </c>
      <c r="AU628" s="87">
        <v>3</v>
      </c>
      <c r="AV628" s="87">
        <f t="shared" si="85"/>
        <v>9</v>
      </c>
      <c r="AW628" s="87" t="str">
        <f t="shared" si="54"/>
        <v>Ninguna</v>
      </c>
      <c r="AX628" s="87" t="s">
        <v>75</v>
      </c>
      <c r="AY628" s="87"/>
      <c r="AZ628" s="87"/>
      <c r="BA628" s="91" t="s">
        <v>2938</v>
      </c>
      <c r="BB628" s="84"/>
      <c r="BC628" s="85"/>
      <c r="BD628" s="85"/>
    </row>
    <row r="629" spans="1:56" s="86" customFormat="1" ht="46.5" customHeight="1">
      <c r="A629" s="87">
        <v>624</v>
      </c>
      <c r="B629" s="79" t="s">
        <v>2939</v>
      </c>
      <c r="C629" s="88">
        <v>45468</v>
      </c>
      <c r="D629" s="89">
        <v>0.75</v>
      </c>
      <c r="E629" s="87" t="s">
        <v>58</v>
      </c>
      <c r="F629" s="87" t="s">
        <v>2680</v>
      </c>
      <c r="G629" s="87" t="s">
        <v>95</v>
      </c>
      <c r="H629" s="90" t="s">
        <v>2940</v>
      </c>
      <c r="I629" s="90" t="s">
        <v>128</v>
      </c>
      <c r="J629" s="87" t="s">
        <v>119</v>
      </c>
      <c r="K629" s="87" t="s">
        <v>217</v>
      </c>
      <c r="L629" s="90" t="s">
        <v>2941</v>
      </c>
      <c r="M629" s="91" t="s">
        <v>2942</v>
      </c>
      <c r="N629" s="90" t="s">
        <v>72</v>
      </c>
      <c r="O629" s="90" t="str">
        <f t="shared" si="79"/>
        <v>Sumapaz</v>
      </c>
      <c r="P629" s="87" t="s">
        <v>327</v>
      </c>
      <c r="Q629" s="87"/>
      <c r="R629" s="87"/>
      <c r="S629" s="87"/>
      <c r="T629" s="87"/>
      <c r="U629" s="87"/>
      <c r="V629" s="90" t="str">
        <f t="shared" si="82"/>
        <v>Ruralidad</v>
      </c>
      <c r="W629" s="87" t="s">
        <v>109</v>
      </c>
      <c r="X629" s="87"/>
      <c r="Y629" s="87"/>
      <c r="Z629" s="87"/>
      <c r="AA629" s="87"/>
      <c r="AB629" s="87"/>
      <c r="AC629" s="90" t="str">
        <f t="shared" si="83"/>
        <v>Sumapaz</v>
      </c>
      <c r="AD629" s="87" t="s">
        <v>327</v>
      </c>
      <c r="AE629" s="87"/>
      <c r="AF629" s="87"/>
      <c r="AG629" s="87"/>
      <c r="AH629" s="87"/>
      <c r="AI629" s="87"/>
      <c r="AJ629" s="87"/>
      <c r="AK629" s="87"/>
      <c r="AL629" s="87"/>
      <c r="AM629" s="87"/>
      <c r="AN629" s="90" t="s">
        <v>2448</v>
      </c>
      <c r="AO629" s="90" t="s">
        <v>90</v>
      </c>
      <c r="AP629" s="82"/>
      <c r="AQ629" s="87" t="s">
        <v>59</v>
      </c>
      <c r="AR629" s="87" t="s">
        <v>80</v>
      </c>
      <c r="AS629" s="82"/>
      <c r="AT629" s="87">
        <v>7</v>
      </c>
      <c r="AU629" s="87">
        <v>2</v>
      </c>
      <c r="AV629" s="87">
        <f t="shared" si="85"/>
        <v>9</v>
      </c>
      <c r="AW629" s="87" t="str">
        <f t="shared" si="54"/>
        <v>Horarios Acordes</v>
      </c>
      <c r="AX629" s="87" t="s">
        <v>213</v>
      </c>
      <c r="AY629" s="87"/>
      <c r="AZ629" s="87"/>
      <c r="BA629" s="91" t="s">
        <v>2943</v>
      </c>
      <c r="BB629" s="84"/>
      <c r="BC629" s="85"/>
      <c r="BD629" s="85"/>
    </row>
    <row r="630" spans="1:56" s="86" customFormat="1" ht="59.25" customHeight="1">
      <c r="A630" s="78">
        <v>625</v>
      </c>
      <c r="B630" s="79" t="s">
        <v>2944</v>
      </c>
      <c r="C630" s="88">
        <v>45468</v>
      </c>
      <c r="D630" s="89">
        <v>0.77083333333333337</v>
      </c>
      <c r="E630" s="87" t="s">
        <v>58</v>
      </c>
      <c r="F630" s="87" t="s">
        <v>2680</v>
      </c>
      <c r="G630" s="87" t="s">
        <v>62</v>
      </c>
      <c r="H630" s="90" t="s">
        <v>2945</v>
      </c>
      <c r="I630" s="90" t="s">
        <v>128</v>
      </c>
      <c r="J630" s="87" t="s">
        <v>173</v>
      </c>
      <c r="K630" s="87"/>
      <c r="L630" s="90" t="s">
        <v>2946</v>
      </c>
      <c r="M630" s="91" t="s">
        <v>2947</v>
      </c>
      <c r="N630" s="90" t="s">
        <v>72</v>
      </c>
      <c r="O630" s="90" t="str">
        <f t="shared" si="79"/>
        <v>Fontibón</v>
      </c>
      <c r="P630" s="87" t="s">
        <v>420</v>
      </c>
      <c r="Q630" s="87"/>
      <c r="R630" s="87"/>
      <c r="S630" s="87"/>
      <c r="T630" s="87"/>
      <c r="U630" s="87"/>
      <c r="V630" s="90" t="str">
        <f t="shared" si="82"/>
        <v>Occidente</v>
      </c>
      <c r="W630" s="87" t="s">
        <v>124</v>
      </c>
      <c r="X630" s="87"/>
      <c r="Y630" s="87"/>
      <c r="Z630" s="87"/>
      <c r="AA630" s="87"/>
      <c r="AB630" s="87"/>
      <c r="AC630" s="90" t="str">
        <f t="shared" si="83"/>
        <v>Fontibón, Salitre</v>
      </c>
      <c r="AD630" s="87" t="s">
        <v>420</v>
      </c>
      <c r="AE630" s="87"/>
      <c r="AF630" s="87" t="s">
        <v>258</v>
      </c>
      <c r="AG630" s="87"/>
      <c r="AH630" s="87"/>
      <c r="AI630" s="87"/>
      <c r="AJ630" s="87"/>
      <c r="AK630" s="87"/>
      <c r="AL630" s="87"/>
      <c r="AM630" s="87"/>
      <c r="AN630" s="90" t="s">
        <v>2948</v>
      </c>
      <c r="AO630" s="90" t="s">
        <v>2949</v>
      </c>
      <c r="AP630" s="82"/>
      <c r="AQ630" s="87" t="s">
        <v>59</v>
      </c>
      <c r="AR630" s="87" t="s">
        <v>80</v>
      </c>
      <c r="AS630" s="82"/>
      <c r="AT630" s="87">
        <v>11</v>
      </c>
      <c r="AU630" s="87">
        <v>2</v>
      </c>
      <c r="AV630" s="87">
        <f t="shared" si="85"/>
        <v>13</v>
      </c>
      <c r="AW630" s="87" t="str">
        <f t="shared" si="54"/>
        <v>Horarios Acordes</v>
      </c>
      <c r="AX630" s="87" t="s">
        <v>213</v>
      </c>
      <c r="AY630" s="87"/>
      <c r="AZ630" s="87"/>
      <c r="BA630" s="91" t="s">
        <v>2950</v>
      </c>
      <c r="BB630" s="84"/>
      <c r="BC630" s="85"/>
      <c r="BD630" s="85"/>
    </row>
    <row r="631" spans="1:56" s="86" customFormat="1" ht="46.5" customHeight="1">
      <c r="A631" s="87">
        <v>626</v>
      </c>
      <c r="B631" s="79" t="s">
        <v>2951</v>
      </c>
      <c r="C631" s="88">
        <v>45469</v>
      </c>
      <c r="D631" s="89">
        <v>0.33333333333333331</v>
      </c>
      <c r="E631" s="87" t="s">
        <v>58</v>
      </c>
      <c r="F631" s="87" t="s">
        <v>2680</v>
      </c>
      <c r="G631" s="87" t="s">
        <v>62</v>
      </c>
      <c r="H631" s="90" t="s">
        <v>2952</v>
      </c>
      <c r="I631" s="90" t="s">
        <v>128</v>
      </c>
      <c r="J631" s="87" t="s">
        <v>119</v>
      </c>
      <c r="K631" s="87" t="s">
        <v>120</v>
      </c>
      <c r="L631" s="90" t="s">
        <v>2953</v>
      </c>
      <c r="M631" s="91" t="s">
        <v>2954</v>
      </c>
      <c r="N631" s="90" t="s">
        <v>72</v>
      </c>
      <c r="O631" s="90" t="str">
        <f t="shared" si="79"/>
        <v>Santa Fe</v>
      </c>
      <c r="P631" s="87" t="s">
        <v>541</v>
      </c>
      <c r="Q631" s="87"/>
      <c r="R631" s="87"/>
      <c r="S631" s="87"/>
      <c r="T631" s="87"/>
      <c r="U631" s="87"/>
      <c r="V631" s="90" t="str">
        <f t="shared" si="82"/>
        <v>Centro Ampliado</v>
      </c>
      <c r="W631" s="87" t="s">
        <v>415</v>
      </c>
      <c r="X631" s="87"/>
      <c r="Y631" s="87"/>
      <c r="Z631" s="87"/>
      <c r="AA631" s="87"/>
      <c r="AB631" s="87"/>
      <c r="AC631" s="90" t="str">
        <f t="shared" si="83"/>
        <v>Centro Histórico, Cerros Orientales</v>
      </c>
      <c r="AD631" s="87" t="s">
        <v>488</v>
      </c>
      <c r="AE631" s="87" t="s">
        <v>222</v>
      </c>
      <c r="AF631" s="87"/>
      <c r="AG631" s="87"/>
      <c r="AH631" s="87"/>
      <c r="AI631" s="87"/>
      <c r="AJ631" s="87"/>
      <c r="AK631" s="87"/>
      <c r="AL631" s="87"/>
      <c r="AM631" s="87"/>
      <c r="AN631" s="90" t="s">
        <v>2955</v>
      </c>
      <c r="AO631" s="90" t="s">
        <v>2956</v>
      </c>
      <c r="AP631" s="82"/>
      <c r="AQ631" s="87" t="s">
        <v>59</v>
      </c>
      <c r="AR631" s="87" t="s">
        <v>80</v>
      </c>
      <c r="AS631" s="82"/>
      <c r="AT631" s="87">
        <v>2</v>
      </c>
      <c r="AU631" s="87">
        <v>1</v>
      </c>
      <c r="AV631" s="87">
        <f t="shared" si="85"/>
        <v>3</v>
      </c>
      <c r="AW631" s="87" t="str">
        <f t="shared" si="54"/>
        <v>Ninguna</v>
      </c>
      <c r="AX631" s="87" t="s">
        <v>75</v>
      </c>
      <c r="AY631" s="87"/>
      <c r="AZ631" s="87"/>
      <c r="BA631" s="91" t="s">
        <v>2957</v>
      </c>
      <c r="BB631" s="84"/>
      <c r="BC631" s="85"/>
      <c r="BD631" s="85"/>
    </row>
    <row r="632" spans="1:56" s="86" customFormat="1" ht="46.5" customHeight="1">
      <c r="A632" s="78">
        <v>627</v>
      </c>
      <c r="B632" s="79" t="s">
        <v>2958</v>
      </c>
      <c r="C632" s="88">
        <v>45469</v>
      </c>
      <c r="D632" s="89">
        <v>0.375</v>
      </c>
      <c r="E632" s="87" t="s">
        <v>58</v>
      </c>
      <c r="F632" s="87" t="s">
        <v>2680</v>
      </c>
      <c r="G632" s="87" t="s">
        <v>62</v>
      </c>
      <c r="H632" s="90" t="s">
        <v>2959</v>
      </c>
      <c r="I632" s="90" t="s">
        <v>128</v>
      </c>
      <c r="J632" s="87" t="s">
        <v>119</v>
      </c>
      <c r="K632" s="87" t="s">
        <v>217</v>
      </c>
      <c r="L632" s="90" t="s">
        <v>2960</v>
      </c>
      <c r="M632" s="91" t="s">
        <v>2961</v>
      </c>
      <c r="N632" s="90" t="s">
        <v>72</v>
      </c>
      <c r="O632" s="90" t="str">
        <f t="shared" si="79"/>
        <v>Usme</v>
      </c>
      <c r="P632" s="87" t="s">
        <v>670</v>
      </c>
      <c r="Q632" s="87"/>
      <c r="R632" s="87"/>
      <c r="S632" s="87"/>
      <c r="T632" s="87"/>
      <c r="U632" s="87"/>
      <c r="V632" s="90" t="str">
        <f t="shared" si="82"/>
        <v>Suroriente</v>
      </c>
      <c r="W632" s="87" t="s">
        <v>108</v>
      </c>
      <c r="X632" s="87"/>
      <c r="Y632" s="87"/>
      <c r="Z632" s="87"/>
      <c r="AA632" s="87"/>
      <c r="AB632" s="87"/>
      <c r="AC632" s="90" t="str">
        <f t="shared" si="83"/>
        <v>Usme Entrenubes, Rafael Uribe, Cuenca del Tunjuelo, Cerros Orientales</v>
      </c>
      <c r="AD632" s="87" t="s">
        <v>671</v>
      </c>
      <c r="AE632" s="87" t="s">
        <v>467</v>
      </c>
      <c r="AF632" s="87" t="s">
        <v>112</v>
      </c>
      <c r="AG632" s="87" t="s">
        <v>222</v>
      </c>
      <c r="AH632" s="87"/>
      <c r="AI632" s="87"/>
      <c r="AJ632" s="87"/>
      <c r="AK632" s="87"/>
      <c r="AL632" s="87"/>
      <c r="AM632" s="87"/>
      <c r="AN632" s="90" t="s">
        <v>2962</v>
      </c>
      <c r="AO632" s="90" t="s">
        <v>2963</v>
      </c>
      <c r="AP632" s="82"/>
      <c r="AQ632" s="87" t="s">
        <v>59</v>
      </c>
      <c r="AR632" s="87" t="s">
        <v>80</v>
      </c>
      <c r="AS632" s="82"/>
      <c r="AT632" s="87">
        <v>9</v>
      </c>
      <c r="AU632" s="87">
        <v>1</v>
      </c>
      <c r="AV632" s="87">
        <f t="shared" si="85"/>
        <v>10</v>
      </c>
      <c r="AW632" s="87" t="str">
        <f t="shared" si="54"/>
        <v>Ninguna</v>
      </c>
      <c r="AX632" s="87" t="s">
        <v>75</v>
      </c>
      <c r="AY632" s="87"/>
      <c r="AZ632" s="87"/>
      <c r="BA632" s="91" t="s">
        <v>2964</v>
      </c>
      <c r="BB632" s="84"/>
      <c r="BC632" s="85"/>
      <c r="BD632" s="85"/>
    </row>
    <row r="633" spans="1:56" s="86" customFormat="1" ht="46.5" customHeight="1">
      <c r="A633" s="87">
        <v>628</v>
      </c>
      <c r="B633" s="79" t="s">
        <v>2965</v>
      </c>
      <c r="C633" s="88">
        <v>45469</v>
      </c>
      <c r="D633" s="89">
        <v>0.375</v>
      </c>
      <c r="E633" s="87" t="s">
        <v>93</v>
      </c>
      <c r="F633" s="87" t="s">
        <v>321</v>
      </c>
      <c r="G633" s="87" t="s">
        <v>95</v>
      </c>
      <c r="H633" s="90" t="s">
        <v>322</v>
      </c>
      <c r="I633" s="90" t="s">
        <v>64</v>
      </c>
      <c r="J633" s="87" t="s">
        <v>70</v>
      </c>
      <c r="K633" s="87" t="s">
        <v>1810</v>
      </c>
      <c r="L633" s="90" t="s">
        <v>2966</v>
      </c>
      <c r="M633" s="91" t="s">
        <v>2967</v>
      </c>
      <c r="N633" s="90" t="s">
        <v>2476</v>
      </c>
      <c r="O633" s="90" t="str">
        <f t="shared" si="79"/>
        <v>Sumapaz</v>
      </c>
      <c r="P633" s="87" t="s">
        <v>327</v>
      </c>
      <c r="Q633" s="87"/>
      <c r="R633" s="87"/>
      <c r="S633" s="87"/>
      <c r="T633" s="87"/>
      <c r="U633" s="87"/>
      <c r="V633" s="90" t="str">
        <f t="shared" si="82"/>
        <v>Ruralidad</v>
      </c>
      <c r="W633" s="87" t="s">
        <v>109</v>
      </c>
      <c r="X633" s="87"/>
      <c r="Y633" s="87"/>
      <c r="Z633" s="87"/>
      <c r="AA633" s="87"/>
      <c r="AB633" s="87"/>
      <c r="AC633" s="90" t="str">
        <f t="shared" si="83"/>
        <v>Sumapaz</v>
      </c>
      <c r="AD633" s="87" t="s">
        <v>327</v>
      </c>
      <c r="AE633" s="87"/>
      <c r="AF633" s="87"/>
      <c r="AG633" s="87"/>
      <c r="AH633" s="87"/>
      <c r="AI633" s="87"/>
      <c r="AJ633" s="87"/>
      <c r="AK633" s="87"/>
      <c r="AL633" s="87"/>
      <c r="AM633" s="87"/>
      <c r="AN633" s="90" t="s">
        <v>2448</v>
      </c>
      <c r="AO633" s="90" t="s">
        <v>90</v>
      </c>
      <c r="AP633" s="82"/>
      <c r="AQ633" s="87" t="s">
        <v>59</v>
      </c>
      <c r="AR633" s="87" t="s">
        <v>80</v>
      </c>
      <c r="AS633" s="82"/>
      <c r="AT633" s="87">
        <v>16</v>
      </c>
      <c r="AU633" s="87">
        <v>1</v>
      </c>
      <c r="AV633" s="87">
        <f t="shared" si="85"/>
        <v>17</v>
      </c>
      <c r="AW633" s="87" t="str">
        <f t="shared" si="54"/>
        <v>Horarios Acordes</v>
      </c>
      <c r="AX633" s="87" t="s">
        <v>213</v>
      </c>
      <c r="AY633" s="87"/>
      <c r="AZ633" s="87"/>
      <c r="BA633" s="91" t="s">
        <v>2968</v>
      </c>
      <c r="BB633" s="84"/>
      <c r="BC633" s="85"/>
      <c r="BD633" s="85"/>
    </row>
    <row r="634" spans="1:56" s="86" customFormat="1" ht="46.5" customHeight="1">
      <c r="A634" s="78">
        <v>629</v>
      </c>
      <c r="B634" s="79" t="s">
        <v>2969</v>
      </c>
      <c r="C634" s="88">
        <v>45469</v>
      </c>
      <c r="D634" s="89">
        <v>0.41666666666666669</v>
      </c>
      <c r="E634" s="87" t="s">
        <v>93</v>
      </c>
      <c r="F634" s="87" t="s">
        <v>186</v>
      </c>
      <c r="G634" s="87" t="s">
        <v>62</v>
      </c>
      <c r="H634" s="90" t="s">
        <v>2970</v>
      </c>
      <c r="I634" s="90" t="s">
        <v>64</v>
      </c>
      <c r="J634" s="87" t="s">
        <v>70</v>
      </c>
      <c r="K634" s="87" t="s">
        <v>71</v>
      </c>
      <c r="L634" s="90" t="s">
        <v>2971</v>
      </c>
      <c r="M634" s="91">
        <v>2417900</v>
      </c>
      <c r="N634" s="90" t="s">
        <v>2972</v>
      </c>
      <c r="O634" s="90" t="str">
        <f t="shared" si="79"/>
        <v>Distrital</v>
      </c>
      <c r="P634" s="87" t="s">
        <v>73</v>
      </c>
      <c r="Q634" s="87"/>
      <c r="R634" s="87"/>
      <c r="S634" s="87"/>
      <c r="T634" s="87"/>
      <c r="U634" s="87"/>
      <c r="V634" s="90" t="str">
        <f t="shared" si="82"/>
        <v>Distrital</v>
      </c>
      <c r="W634" s="87" t="s">
        <v>73</v>
      </c>
      <c r="X634" s="87"/>
      <c r="Y634" s="87"/>
      <c r="Z634" s="87"/>
      <c r="AA634" s="87"/>
      <c r="AB634" s="87"/>
      <c r="AC634" s="90" t="str">
        <f t="shared" si="83"/>
        <v>Distrital</v>
      </c>
      <c r="AD634" s="87" t="s">
        <v>73</v>
      </c>
      <c r="AE634" s="87"/>
      <c r="AF634" s="87"/>
      <c r="AG634" s="87"/>
      <c r="AH634" s="87"/>
      <c r="AI634" s="87"/>
      <c r="AJ634" s="87"/>
      <c r="AK634" s="87"/>
      <c r="AL634" s="87"/>
      <c r="AM634" s="87"/>
      <c r="AN634" s="90" t="s">
        <v>160</v>
      </c>
      <c r="AO634" s="90" t="s">
        <v>2973</v>
      </c>
      <c r="AP634" s="82"/>
      <c r="AQ634" s="87" t="s">
        <v>59</v>
      </c>
      <c r="AR634" s="87" t="s">
        <v>80</v>
      </c>
      <c r="AS634" s="82"/>
      <c r="AT634" s="87">
        <v>27</v>
      </c>
      <c r="AU634" s="87">
        <v>1</v>
      </c>
      <c r="AV634" s="87">
        <f>AT634+AU634</f>
        <v>28</v>
      </c>
      <c r="AW634" s="87" t="str">
        <f>_xlfn.TEXTJOIN(", ",TRUE,$AX634:$AZ634)</f>
        <v>Ninguna</v>
      </c>
      <c r="AX634" s="87" t="s">
        <v>75</v>
      </c>
      <c r="AY634" s="87"/>
      <c r="AZ634" s="87"/>
      <c r="BA634" s="91" t="s">
        <v>2974</v>
      </c>
      <c r="BB634" s="84"/>
      <c r="BC634" s="85"/>
      <c r="BD634" s="85"/>
    </row>
    <row r="635" spans="1:56" s="86" customFormat="1" ht="46.5" customHeight="1">
      <c r="A635" s="87">
        <v>630</v>
      </c>
      <c r="B635" s="79" t="s">
        <v>2975</v>
      </c>
      <c r="C635" s="88">
        <v>45469</v>
      </c>
      <c r="D635" s="89">
        <v>0.4375</v>
      </c>
      <c r="E635" s="87" t="s">
        <v>58</v>
      </c>
      <c r="F635" s="87" t="s">
        <v>2680</v>
      </c>
      <c r="G635" s="87" t="s">
        <v>62</v>
      </c>
      <c r="H635" s="90" t="s">
        <v>2976</v>
      </c>
      <c r="I635" s="90" t="s">
        <v>128</v>
      </c>
      <c r="J635" s="87" t="s">
        <v>119</v>
      </c>
      <c r="K635" s="87" t="s">
        <v>217</v>
      </c>
      <c r="L635" s="90" t="s">
        <v>2977</v>
      </c>
      <c r="M635" s="91" t="s">
        <v>2978</v>
      </c>
      <c r="N635" s="90" t="s">
        <v>2979</v>
      </c>
      <c r="O635" s="90" t="str">
        <f t="shared" si="79"/>
        <v>Puente Aranda</v>
      </c>
      <c r="P635" s="87" t="s">
        <v>823</v>
      </c>
      <c r="Q635" s="87"/>
      <c r="R635" s="87"/>
      <c r="S635" s="87"/>
      <c r="T635" s="87"/>
      <c r="U635" s="87"/>
      <c r="V635" s="90" t="str">
        <f t="shared" si="82"/>
        <v>Centro Ampliado</v>
      </c>
      <c r="W635" s="87" t="s">
        <v>415</v>
      </c>
      <c r="X635" s="87"/>
      <c r="Y635" s="87"/>
      <c r="Z635" s="87"/>
      <c r="AA635" s="87"/>
      <c r="AB635" s="87"/>
      <c r="AC635" s="90" t="str">
        <f t="shared" si="83"/>
        <v>Puente Aranda</v>
      </c>
      <c r="AD635" s="87" t="s">
        <v>823</v>
      </c>
      <c r="AE635" s="87"/>
      <c r="AF635" s="87"/>
      <c r="AG635" s="87"/>
      <c r="AH635" s="87"/>
      <c r="AI635" s="87"/>
      <c r="AJ635" s="87"/>
      <c r="AK635" s="87"/>
      <c r="AL635" s="87"/>
      <c r="AM635" s="87"/>
      <c r="AN635" s="90" t="s">
        <v>160</v>
      </c>
      <c r="AO635" s="90" t="s">
        <v>2980</v>
      </c>
      <c r="AP635" s="82"/>
      <c r="AQ635" s="87" t="s">
        <v>59</v>
      </c>
      <c r="AR635" s="87" t="s">
        <v>80</v>
      </c>
      <c r="AS635" s="82"/>
      <c r="AT635" s="87">
        <v>2</v>
      </c>
      <c r="AU635" s="87">
        <v>2</v>
      </c>
      <c r="AV635" s="87">
        <f t="shared" ref="AV635" si="86">AT635+AU635</f>
        <v>4</v>
      </c>
      <c r="AW635" s="87" t="str">
        <f t="shared" si="54"/>
        <v>Ninguna</v>
      </c>
      <c r="AX635" s="87" t="s">
        <v>75</v>
      </c>
      <c r="AY635" s="87"/>
      <c r="AZ635" s="87"/>
      <c r="BA635" s="91" t="s">
        <v>2981</v>
      </c>
      <c r="BB635" s="84"/>
      <c r="BC635" s="85"/>
      <c r="BD635" s="85"/>
    </row>
    <row r="636" spans="1:56" s="86" customFormat="1" ht="46.5" customHeight="1">
      <c r="A636" s="78">
        <v>631</v>
      </c>
      <c r="B636" s="79" t="s">
        <v>2982</v>
      </c>
      <c r="C636" s="88">
        <v>45469</v>
      </c>
      <c r="D636" s="89">
        <v>0.5</v>
      </c>
      <c r="E636" s="87" t="s">
        <v>58</v>
      </c>
      <c r="F636" s="87" t="s">
        <v>2680</v>
      </c>
      <c r="G636" s="87" t="s">
        <v>62</v>
      </c>
      <c r="H636" s="90" t="s">
        <v>2940</v>
      </c>
      <c r="I636" s="90" t="s">
        <v>64</v>
      </c>
      <c r="J636" s="87" t="s">
        <v>119</v>
      </c>
      <c r="K636" s="87" t="s">
        <v>217</v>
      </c>
      <c r="L636" s="90" t="s">
        <v>2983</v>
      </c>
      <c r="M636" s="91" t="s">
        <v>2984</v>
      </c>
      <c r="N636" s="90" t="s">
        <v>72</v>
      </c>
      <c r="O636" s="90" t="str">
        <f t="shared" si="79"/>
        <v>Suba</v>
      </c>
      <c r="P636" s="87" t="s">
        <v>394</v>
      </c>
      <c r="Q636" s="87"/>
      <c r="R636" s="87"/>
      <c r="S636" s="87"/>
      <c r="T636" s="87"/>
      <c r="U636" s="87"/>
      <c r="V636" s="90" t="str">
        <f t="shared" si="82"/>
        <v>Noroccidente</v>
      </c>
      <c r="W636" s="87" t="s">
        <v>395</v>
      </c>
      <c r="X636" s="87"/>
      <c r="Y636" s="87"/>
      <c r="Z636" s="87"/>
      <c r="AA636" s="87"/>
      <c r="AB636" s="87"/>
      <c r="AC636" s="90" t="str">
        <f t="shared" si="83"/>
        <v>Suba, Suba Rincón, Tibabuyes, Niza, Britalia, Torca</v>
      </c>
      <c r="AD636" s="87" t="s">
        <v>394</v>
      </c>
      <c r="AE636" s="87" t="s">
        <v>396</v>
      </c>
      <c r="AF636" s="87" t="s">
        <v>924</v>
      </c>
      <c r="AG636" s="87" t="s">
        <v>571</v>
      </c>
      <c r="AH636" s="87" t="s">
        <v>876</v>
      </c>
      <c r="AI636" s="87" t="s">
        <v>528</v>
      </c>
      <c r="AJ636" s="87"/>
      <c r="AK636" s="87"/>
      <c r="AL636" s="87"/>
      <c r="AM636" s="87"/>
      <c r="AN636" s="90" t="s">
        <v>160</v>
      </c>
      <c r="AO636" s="90" t="s">
        <v>2927</v>
      </c>
      <c r="AP636" s="82"/>
      <c r="AQ636" s="87" t="s">
        <v>59</v>
      </c>
      <c r="AR636" s="87" t="s">
        <v>80</v>
      </c>
      <c r="AS636" s="82"/>
      <c r="AT636" s="87">
        <v>2</v>
      </c>
      <c r="AU636" s="87">
        <v>1</v>
      </c>
      <c r="AV636" s="87">
        <f>AT636+AU636</f>
        <v>3</v>
      </c>
      <c r="AW636" s="87" t="str">
        <f>_xlfn.TEXTJOIN(", ",TRUE,$AX636:$AZ636)</f>
        <v>Horarios Acordes</v>
      </c>
      <c r="AX636" s="87" t="s">
        <v>213</v>
      </c>
      <c r="AY636" s="87"/>
      <c r="AZ636" s="87"/>
      <c r="BA636" s="91" t="s">
        <v>2985</v>
      </c>
      <c r="BB636" s="84"/>
      <c r="BC636" s="85"/>
      <c r="BD636" s="85"/>
    </row>
    <row r="637" spans="1:56" s="86" customFormat="1" ht="46.5" customHeight="1">
      <c r="A637" s="87">
        <v>632</v>
      </c>
      <c r="B637" s="79" t="s">
        <v>2986</v>
      </c>
      <c r="C637" s="88">
        <v>45469</v>
      </c>
      <c r="D637" s="89">
        <v>0.54166666666666663</v>
      </c>
      <c r="E637" s="87" t="s">
        <v>58</v>
      </c>
      <c r="F637" s="87" t="s">
        <v>2680</v>
      </c>
      <c r="G637" s="87" t="s">
        <v>95</v>
      </c>
      <c r="H637" s="90" t="s">
        <v>2987</v>
      </c>
      <c r="I637" s="90" t="s">
        <v>128</v>
      </c>
      <c r="J637" s="87" t="s">
        <v>119</v>
      </c>
      <c r="K637" s="87" t="s">
        <v>1369</v>
      </c>
      <c r="L637" s="90" t="s">
        <v>2988</v>
      </c>
      <c r="M637" s="91" t="s">
        <v>2989</v>
      </c>
      <c r="N637" s="90" t="s">
        <v>72</v>
      </c>
      <c r="O637" s="90" t="str">
        <f>_xlfn.TEXTJOIN(", ",TRUE,$P637:$T637)</f>
        <v>Sumapaz</v>
      </c>
      <c r="P637" s="87" t="s">
        <v>327</v>
      </c>
      <c r="Q637" s="87"/>
      <c r="R637" s="87"/>
      <c r="S637" s="87"/>
      <c r="T637" s="87"/>
      <c r="U637" s="87"/>
      <c r="V637" s="90" t="str">
        <f>_xlfn.TEXTJOIN(", ",TRUE,$W637:$AB637)</f>
        <v>Ruralidad</v>
      </c>
      <c r="W637" s="87" t="s">
        <v>109</v>
      </c>
      <c r="X637" s="87"/>
      <c r="Y637" s="87"/>
      <c r="Z637" s="87"/>
      <c r="AA637" s="87"/>
      <c r="AB637" s="87"/>
      <c r="AC637" s="90" t="str">
        <f>_xlfn.TEXTJOIN(", ",TRUE,$AD637:$AM637)</f>
        <v>Sumapaz</v>
      </c>
      <c r="AD637" s="87" t="s">
        <v>327</v>
      </c>
      <c r="AE637" s="87"/>
      <c r="AF637" s="87"/>
      <c r="AG637" s="87"/>
      <c r="AH637" s="87"/>
      <c r="AI637" s="87"/>
      <c r="AJ637" s="87"/>
      <c r="AK637" s="87"/>
      <c r="AL637" s="87"/>
      <c r="AM637" s="87"/>
      <c r="AN637" s="90" t="s">
        <v>2990</v>
      </c>
      <c r="AO637" s="90" t="s">
        <v>90</v>
      </c>
      <c r="AP637" s="82"/>
      <c r="AQ637" s="87" t="s">
        <v>59</v>
      </c>
      <c r="AR637" s="87" t="s">
        <v>80</v>
      </c>
      <c r="AS637" s="82"/>
      <c r="AT637" s="87">
        <v>35</v>
      </c>
      <c r="AU637" s="87">
        <v>1</v>
      </c>
      <c r="AV637" s="87">
        <f>AT637+AU637</f>
        <v>36</v>
      </c>
      <c r="AW637" s="87" t="str">
        <f>_xlfn.TEXTJOIN(", ",TRUE,$AX637:$AZ637)</f>
        <v>Ninguna</v>
      </c>
      <c r="AX637" s="87" t="s">
        <v>75</v>
      </c>
      <c r="AY637" s="87"/>
      <c r="AZ637" s="87"/>
      <c r="BA637" s="91" t="s">
        <v>2991</v>
      </c>
      <c r="BB637" s="84"/>
      <c r="BC637" s="85"/>
      <c r="BD637" s="85"/>
    </row>
    <row r="638" spans="1:56" s="86" customFormat="1" ht="46.5" customHeight="1">
      <c r="A638" s="78">
        <v>633</v>
      </c>
      <c r="B638" s="79" t="s">
        <v>2992</v>
      </c>
      <c r="C638" s="88">
        <v>45469</v>
      </c>
      <c r="D638" s="89">
        <v>0.54166666666666663</v>
      </c>
      <c r="E638" s="87" t="s">
        <v>58</v>
      </c>
      <c r="F638" s="87" t="s">
        <v>2680</v>
      </c>
      <c r="G638" s="87" t="s">
        <v>62</v>
      </c>
      <c r="H638" s="90" t="s">
        <v>2993</v>
      </c>
      <c r="I638" s="90" t="s">
        <v>128</v>
      </c>
      <c r="J638" s="87" t="s">
        <v>173</v>
      </c>
      <c r="K638" s="87"/>
      <c r="L638" s="90" t="s">
        <v>2994</v>
      </c>
      <c r="M638" s="91" t="s">
        <v>2995</v>
      </c>
      <c r="N638" s="90" t="s">
        <v>72</v>
      </c>
      <c r="O638" s="90" t="str">
        <f>_xlfn.TEXTJOIN(", ",TRUE,$P638:$T638)</f>
        <v>Bosa</v>
      </c>
      <c r="P638" s="87" t="s">
        <v>472</v>
      </c>
      <c r="Q638" s="87"/>
      <c r="R638" s="87"/>
      <c r="S638" s="87"/>
      <c r="T638" s="87"/>
      <c r="U638" s="87"/>
      <c r="V638" s="90" t="str">
        <f>_xlfn.TEXTJOIN(", ",TRUE,$W638:$AB638)</f>
        <v>Suroccidente</v>
      </c>
      <c r="W638" s="87" t="s">
        <v>474</v>
      </c>
      <c r="X638" s="87"/>
      <c r="Y638" s="87"/>
      <c r="Z638" s="87"/>
      <c r="AA638" s="87"/>
      <c r="AB638" s="87"/>
      <c r="AC638" s="90" t="str">
        <f>_xlfn.TEXTJOIN(", ",TRUE,$AD638:$AM638)</f>
        <v>Edén, Patio Bonito, Bosa</v>
      </c>
      <c r="AD638" s="87" t="s">
        <v>704</v>
      </c>
      <c r="AE638" s="87" t="s">
        <v>639</v>
      </c>
      <c r="AF638" s="87" t="s">
        <v>472</v>
      </c>
      <c r="AG638" s="87"/>
      <c r="AH638" s="87"/>
      <c r="AI638" s="87"/>
      <c r="AJ638" s="87"/>
      <c r="AK638" s="87"/>
      <c r="AL638" s="87"/>
      <c r="AM638" s="87"/>
      <c r="AN638" s="90" t="s">
        <v>2996</v>
      </c>
      <c r="AO638" s="90" t="s">
        <v>2997</v>
      </c>
      <c r="AP638" s="82"/>
      <c r="AQ638" s="87" t="s">
        <v>59</v>
      </c>
      <c r="AR638" s="87" t="s">
        <v>80</v>
      </c>
      <c r="AS638" s="82"/>
      <c r="AT638" s="87">
        <v>7</v>
      </c>
      <c r="AU638" s="87">
        <v>3</v>
      </c>
      <c r="AV638" s="87">
        <f>AT638+AU638</f>
        <v>10</v>
      </c>
      <c r="AW638" s="87" t="str">
        <f>_xlfn.TEXTJOIN(", ",TRUE,$AX638:$AZ638)</f>
        <v>Contenidos adaptados</v>
      </c>
      <c r="AX638" s="87" t="s">
        <v>212</v>
      </c>
      <c r="AY638" s="87"/>
      <c r="AZ638" s="87"/>
      <c r="BA638" s="91" t="s">
        <v>2998</v>
      </c>
      <c r="BB638" s="84"/>
      <c r="BC638" s="85"/>
      <c r="BD638" s="85"/>
    </row>
    <row r="639" spans="1:56" s="86" customFormat="1" ht="46.5" customHeight="1">
      <c r="A639" s="87">
        <v>634</v>
      </c>
      <c r="B639" s="79" t="s">
        <v>2999</v>
      </c>
      <c r="C639" s="88">
        <v>45469</v>
      </c>
      <c r="D639" s="89">
        <v>0.60416666666666663</v>
      </c>
      <c r="E639" s="87" t="s">
        <v>58</v>
      </c>
      <c r="F639" s="87" t="s">
        <v>1184</v>
      </c>
      <c r="G639" s="87" t="s">
        <v>95</v>
      </c>
      <c r="H639" s="90" t="s">
        <v>3000</v>
      </c>
      <c r="I639" s="90" t="s">
        <v>64</v>
      </c>
      <c r="J639" s="87" t="s">
        <v>70</v>
      </c>
      <c r="K639" s="87" t="s">
        <v>71</v>
      </c>
      <c r="L639" s="90" t="s">
        <v>72</v>
      </c>
      <c r="M639" s="90" t="s">
        <v>72</v>
      </c>
      <c r="N639" s="90" t="s">
        <v>72</v>
      </c>
      <c r="O639" s="90" t="str">
        <f t="shared" si="79"/>
        <v>Distrital</v>
      </c>
      <c r="P639" s="87" t="s">
        <v>73</v>
      </c>
      <c r="Q639" s="87"/>
      <c r="R639" s="87"/>
      <c r="S639" s="87"/>
      <c r="T639" s="87"/>
      <c r="U639" s="87"/>
      <c r="V639" s="90" t="str">
        <f t="shared" si="82"/>
        <v>Centro Ampliado</v>
      </c>
      <c r="W639" s="87" t="s">
        <v>415</v>
      </c>
      <c r="X639" s="87"/>
      <c r="Y639" s="87"/>
      <c r="Z639" s="87"/>
      <c r="AA639" s="87"/>
      <c r="AB639" s="87"/>
      <c r="AC639" s="90" t="str">
        <f t="shared" si="83"/>
        <v>Distrital</v>
      </c>
      <c r="AD639" s="87" t="s">
        <v>73</v>
      </c>
      <c r="AE639" s="87"/>
      <c r="AF639" s="87"/>
      <c r="AG639" s="87"/>
      <c r="AH639" s="87"/>
      <c r="AI639" s="87"/>
      <c r="AJ639" s="87"/>
      <c r="AK639" s="87"/>
      <c r="AL639" s="87"/>
      <c r="AM639" s="87"/>
      <c r="AN639" s="90" t="s">
        <v>160</v>
      </c>
      <c r="AO639" s="102" t="s">
        <v>3001</v>
      </c>
      <c r="AP639" s="82"/>
      <c r="AQ639" s="87" t="s">
        <v>59</v>
      </c>
      <c r="AR639" s="87" t="s">
        <v>80</v>
      </c>
      <c r="AS639" s="82"/>
      <c r="AT639" s="87">
        <v>0</v>
      </c>
      <c r="AU639" s="87">
        <v>7</v>
      </c>
      <c r="AV639" s="87">
        <v>7</v>
      </c>
      <c r="AW639" s="87" t="str">
        <f t="shared" si="54"/>
        <v>Horarios Acordes</v>
      </c>
      <c r="AX639" s="87" t="s">
        <v>213</v>
      </c>
      <c r="AY639" s="87"/>
      <c r="AZ639" s="87"/>
      <c r="BA639" s="91" t="s">
        <v>3002</v>
      </c>
      <c r="BB639" s="84"/>
      <c r="BC639" s="85"/>
      <c r="BD639" s="85"/>
    </row>
    <row r="640" spans="1:56" s="86" customFormat="1" ht="46.5" customHeight="1">
      <c r="A640" s="78">
        <v>635</v>
      </c>
      <c r="B640" s="79" t="s">
        <v>3003</v>
      </c>
      <c r="C640" s="88">
        <v>45469</v>
      </c>
      <c r="D640" s="89">
        <v>0.625</v>
      </c>
      <c r="E640" s="87" t="s">
        <v>58</v>
      </c>
      <c r="F640" s="87" t="s">
        <v>2680</v>
      </c>
      <c r="G640" s="87" t="s">
        <v>62</v>
      </c>
      <c r="H640" s="90" t="s">
        <v>2993</v>
      </c>
      <c r="I640" s="90" t="s">
        <v>128</v>
      </c>
      <c r="J640" s="87" t="s">
        <v>173</v>
      </c>
      <c r="K640" s="87"/>
      <c r="L640" s="90" t="s">
        <v>3004</v>
      </c>
      <c r="M640" s="91" t="s">
        <v>3005</v>
      </c>
      <c r="N640" s="90" t="s">
        <v>72</v>
      </c>
      <c r="O640" s="90" t="str">
        <f>_xlfn.TEXTJOIN(", ",TRUE,$P640:$T640)</f>
        <v>Bosa</v>
      </c>
      <c r="P640" s="87" t="s">
        <v>472</v>
      </c>
      <c r="Q640" s="87"/>
      <c r="R640" s="87"/>
      <c r="S640" s="87"/>
      <c r="T640" s="87"/>
      <c r="U640" s="87"/>
      <c r="V640" s="90" t="str">
        <f>_xlfn.TEXTJOIN(", ",TRUE,$W640:$AB640)</f>
        <v>Suroccidente</v>
      </c>
      <c r="W640" s="87" t="s">
        <v>474</v>
      </c>
      <c r="X640" s="87"/>
      <c r="Y640" s="87"/>
      <c r="Z640" s="87"/>
      <c r="AA640" s="87"/>
      <c r="AB640" s="87"/>
      <c r="AC640" s="90" t="str">
        <f>_xlfn.TEXTJOIN(", ",TRUE,$AD640:$AM640)</f>
        <v>Edén, Patio Bonito, Bosa</v>
      </c>
      <c r="AD640" s="87" t="s">
        <v>704</v>
      </c>
      <c r="AE640" s="87" t="s">
        <v>639</v>
      </c>
      <c r="AF640" s="87" t="s">
        <v>472</v>
      </c>
      <c r="AG640" s="87"/>
      <c r="AH640" s="87"/>
      <c r="AI640" s="87"/>
      <c r="AJ640" s="87"/>
      <c r="AK640" s="87"/>
      <c r="AL640" s="87"/>
      <c r="AM640" s="87"/>
      <c r="AN640" s="90" t="s">
        <v>3006</v>
      </c>
      <c r="AO640" s="90" t="s">
        <v>3007</v>
      </c>
      <c r="AP640" s="82"/>
      <c r="AQ640" s="87" t="s">
        <v>59</v>
      </c>
      <c r="AR640" s="87" t="s">
        <v>80</v>
      </c>
      <c r="AS640" s="82"/>
      <c r="AT640" s="87">
        <v>2</v>
      </c>
      <c r="AU640" s="87">
        <v>3</v>
      </c>
      <c r="AV640" s="87">
        <f>AT640+AU640</f>
        <v>5</v>
      </c>
      <c r="AW640" s="87" t="str">
        <f>_xlfn.TEXTJOIN(", ",TRUE,$AX640:$AZ640)</f>
        <v>Contenidos adaptados</v>
      </c>
      <c r="AX640" s="87" t="s">
        <v>212</v>
      </c>
      <c r="AY640" s="87"/>
      <c r="AZ640" s="87"/>
      <c r="BA640" s="91" t="s">
        <v>3008</v>
      </c>
      <c r="BB640" s="84"/>
      <c r="BC640" s="85"/>
      <c r="BD640" s="85"/>
    </row>
    <row r="641" spans="1:56" s="86" customFormat="1" ht="46.5" customHeight="1">
      <c r="A641" s="87">
        <v>636</v>
      </c>
      <c r="B641" s="79" t="s">
        <v>3009</v>
      </c>
      <c r="C641" s="88">
        <v>45469</v>
      </c>
      <c r="D641" s="89">
        <v>0.77083333333333337</v>
      </c>
      <c r="E641" s="87" t="s">
        <v>93</v>
      </c>
      <c r="F641" s="87" t="s">
        <v>102</v>
      </c>
      <c r="G641" s="87" t="s">
        <v>95</v>
      </c>
      <c r="H641" s="90" t="s">
        <v>3010</v>
      </c>
      <c r="I641" s="90" t="s">
        <v>118</v>
      </c>
      <c r="J641" s="87" t="s">
        <v>119</v>
      </c>
      <c r="K641" s="87" t="s">
        <v>129</v>
      </c>
      <c r="L641" s="90" t="s">
        <v>3011</v>
      </c>
      <c r="M641" s="91" t="s">
        <v>3012</v>
      </c>
      <c r="N641" s="90" t="s">
        <v>439</v>
      </c>
      <c r="O641" s="90" t="str">
        <f t="shared" si="79"/>
        <v>Distrital</v>
      </c>
      <c r="P641" s="87" t="s">
        <v>73</v>
      </c>
      <c r="Q641" s="87"/>
      <c r="R641" s="87"/>
      <c r="S641" s="87"/>
      <c r="T641" s="87"/>
      <c r="U641" s="87"/>
      <c r="V641" s="90" t="str">
        <f t="shared" si="82"/>
        <v>Distrital</v>
      </c>
      <c r="W641" s="87" t="s">
        <v>73</v>
      </c>
      <c r="X641" s="87"/>
      <c r="Y641" s="87"/>
      <c r="Z641" s="87"/>
      <c r="AA641" s="87"/>
      <c r="AB641" s="87"/>
      <c r="AC641" s="90" t="str">
        <f t="shared" si="83"/>
        <v>Distrital</v>
      </c>
      <c r="AD641" s="87" t="s">
        <v>73</v>
      </c>
      <c r="AE641" s="87"/>
      <c r="AF641" s="87"/>
      <c r="AG641" s="87"/>
      <c r="AH641" s="87"/>
      <c r="AI641" s="87"/>
      <c r="AJ641" s="87"/>
      <c r="AK641" s="87"/>
      <c r="AL641" s="87"/>
      <c r="AM641" s="87"/>
      <c r="AN641" s="90" t="s">
        <v>160</v>
      </c>
      <c r="AO641" s="102" t="s">
        <v>2638</v>
      </c>
      <c r="AP641" s="82"/>
      <c r="AQ641" s="87" t="s">
        <v>59</v>
      </c>
      <c r="AR641" s="87" t="s">
        <v>80</v>
      </c>
      <c r="AS641" s="82"/>
      <c r="AT641" s="87">
        <v>6</v>
      </c>
      <c r="AU641" s="87">
        <v>1</v>
      </c>
      <c r="AV641" s="87">
        <f t="shared" ref="AV641:AV651" si="87">AT641+AU641</f>
        <v>7</v>
      </c>
      <c r="AW641" s="87" t="str">
        <f t="shared" si="54"/>
        <v>Ninguna</v>
      </c>
      <c r="AX641" s="87" t="s">
        <v>75</v>
      </c>
      <c r="AY641" s="87"/>
      <c r="AZ641" s="87"/>
      <c r="BA641" s="91" t="s">
        <v>3013</v>
      </c>
      <c r="BB641" s="84"/>
      <c r="BC641" s="85"/>
      <c r="BD641" s="85"/>
    </row>
    <row r="642" spans="1:56" s="86" customFormat="1" ht="46.5" customHeight="1">
      <c r="A642" s="78">
        <v>637</v>
      </c>
      <c r="B642" s="79" t="s">
        <v>3014</v>
      </c>
      <c r="C642" s="88">
        <v>45470</v>
      </c>
      <c r="D642" s="89">
        <v>0.375</v>
      </c>
      <c r="E642" s="87" t="s">
        <v>58</v>
      </c>
      <c r="F642" s="87" t="s">
        <v>2680</v>
      </c>
      <c r="G642" s="87" t="s">
        <v>62</v>
      </c>
      <c r="H642" s="90" t="s">
        <v>3015</v>
      </c>
      <c r="I642" s="90" t="s">
        <v>128</v>
      </c>
      <c r="J642" s="87" t="s">
        <v>119</v>
      </c>
      <c r="K642" s="87" t="s">
        <v>1369</v>
      </c>
      <c r="L642" s="90" t="s">
        <v>3016</v>
      </c>
      <c r="M642" s="91" t="s">
        <v>3017</v>
      </c>
      <c r="N642" s="90" t="s">
        <v>3018</v>
      </c>
      <c r="O642" s="90" t="str">
        <f>_xlfn.TEXTJOIN(", ",TRUE,$P642:$T642)</f>
        <v>Tunjuelito</v>
      </c>
      <c r="P642" s="87" t="s">
        <v>618</v>
      </c>
      <c r="Q642" s="87"/>
      <c r="R642" s="87"/>
      <c r="S642" s="87"/>
      <c r="T642" s="87"/>
      <c r="U642" s="87"/>
      <c r="V642" s="90" t="str">
        <f>_xlfn.TEXTJOIN(", ",TRUE,$W642:$AB642)</f>
        <v>Suroriente</v>
      </c>
      <c r="W642" s="87" t="s">
        <v>108</v>
      </c>
      <c r="X642" s="87"/>
      <c r="Y642" s="87"/>
      <c r="Z642" s="87"/>
      <c r="AA642" s="87"/>
      <c r="AB642" s="87"/>
      <c r="AC642" s="90" t="str">
        <f>_xlfn.TEXTJOIN(", ",TRUE,$AD642:$AM642)</f>
        <v>Tunjuelito, Arborizadora</v>
      </c>
      <c r="AD642" s="87" t="s">
        <v>618</v>
      </c>
      <c r="AE642" s="87" t="s">
        <v>110</v>
      </c>
      <c r="AF642" s="87"/>
      <c r="AG642" s="87"/>
      <c r="AH642" s="87"/>
      <c r="AI642" s="87"/>
      <c r="AJ642" s="87"/>
      <c r="AK642" s="87"/>
      <c r="AL642" s="87"/>
      <c r="AM642" s="87"/>
      <c r="AN642" s="90" t="s">
        <v>160</v>
      </c>
      <c r="AO642" s="90" t="s">
        <v>3019</v>
      </c>
      <c r="AP642" s="82"/>
      <c r="AQ642" s="87" t="s">
        <v>59</v>
      </c>
      <c r="AR642" s="87" t="s">
        <v>80</v>
      </c>
      <c r="AS642" s="82"/>
      <c r="AT642" s="87">
        <v>9</v>
      </c>
      <c r="AU642" s="87">
        <v>2</v>
      </c>
      <c r="AV642" s="87">
        <f>AT642+AU642</f>
        <v>11</v>
      </c>
      <c r="AW642" s="87" t="str">
        <f>_xlfn.TEXTJOIN(", ",TRUE,$AX642:$AZ642)</f>
        <v>Horarios Acordes</v>
      </c>
      <c r="AX642" s="87" t="s">
        <v>213</v>
      </c>
      <c r="AY642" s="87"/>
      <c r="AZ642" s="87"/>
      <c r="BA642" s="91" t="s">
        <v>3020</v>
      </c>
      <c r="BB642" s="84"/>
      <c r="BC642" s="85"/>
      <c r="BD642" s="85"/>
    </row>
    <row r="643" spans="1:56" s="86" customFormat="1" ht="46.5" customHeight="1">
      <c r="A643" s="87">
        <v>638</v>
      </c>
      <c r="B643" s="79" t="s">
        <v>3021</v>
      </c>
      <c r="C643" s="88">
        <v>45470</v>
      </c>
      <c r="D643" s="89">
        <v>0.39583333333333331</v>
      </c>
      <c r="E643" s="87" t="s">
        <v>58</v>
      </c>
      <c r="F643" s="87" t="s">
        <v>2680</v>
      </c>
      <c r="G643" s="87" t="s">
        <v>62</v>
      </c>
      <c r="H643" s="90" t="s">
        <v>3022</v>
      </c>
      <c r="I643" s="90" t="s">
        <v>188</v>
      </c>
      <c r="J643" s="87" t="s">
        <v>70</v>
      </c>
      <c r="K643" s="87" t="s">
        <v>71</v>
      </c>
      <c r="L643" s="90" t="s">
        <v>3023</v>
      </c>
      <c r="M643" s="91" t="s">
        <v>3024</v>
      </c>
      <c r="N643" s="90" t="s">
        <v>3025</v>
      </c>
      <c r="O643" s="90" t="str">
        <f t="shared" si="79"/>
        <v>Barrios Unidos</v>
      </c>
      <c r="P643" s="87" t="s">
        <v>686</v>
      </c>
      <c r="Q643" s="87"/>
      <c r="R643" s="87"/>
      <c r="S643" s="87"/>
      <c r="T643" s="87"/>
      <c r="U643" s="87"/>
      <c r="V643" s="90" t="str">
        <f t="shared" si="82"/>
        <v>Centro Ampliado</v>
      </c>
      <c r="W643" s="87" t="s">
        <v>415</v>
      </c>
      <c r="X643" s="87"/>
      <c r="Y643" s="87"/>
      <c r="Z643" s="87"/>
      <c r="AA643" s="87"/>
      <c r="AB643" s="87"/>
      <c r="AC643" s="90" t="str">
        <f t="shared" si="83"/>
        <v>Barrios Unidos</v>
      </c>
      <c r="AD643" s="87" t="s">
        <v>686</v>
      </c>
      <c r="AE643" s="87"/>
      <c r="AF643" s="87"/>
      <c r="AG643" s="87"/>
      <c r="AH643" s="87"/>
      <c r="AI643" s="87"/>
      <c r="AJ643" s="87"/>
      <c r="AK643" s="87"/>
      <c r="AL643" s="87"/>
      <c r="AM643" s="87"/>
      <c r="AN643" s="90" t="s">
        <v>3026</v>
      </c>
      <c r="AO643" s="90" t="s">
        <v>3027</v>
      </c>
      <c r="AP643" s="82"/>
      <c r="AQ643" s="87" t="s">
        <v>59</v>
      </c>
      <c r="AR643" s="87" t="s">
        <v>80</v>
      </c>
      <c r="AS643" s="82"/>
      <c r="AT643" s="87">
        <v>27</v>
      </c>
      <c r="AU643" s="87">
        <v>1</v>
      </c>
      <c r="AV643" s="87">
        <f t="shared" si="87"/>
        <v>28</v>
      </c>
      <c r="AW643" s="87" t="str">
        <f t="shared" si="54"/>
        <v>Ninguna</v>
      </c>
      <c r="AX643" s="87" t="s">
        <v>75</v>
      </c>
      <c r="AY643" s="87"/>
      <c r="AZ643" s="87"/>
      <c r="BA643" s="91" t="s">
        <v>3028</v>
      </c>
      <c r="BB643" s="84"/>
      <c r="BC643" s="85"/>
      <c r="BD643" s="85"/>
    </row>
    <row r="644" spans="1:56" s="86" customFormat="1" ht="46.5" customHeight="1">
      <c r="A644" s="78">
        <v>639</v>
      </c>
      <c r="B644" s="79" t="s">
        <v>3029</v>
      </c>
      <c r="C644" s="88">
        <v>45470</v>
      </c>
      <c r="D644" s="89">
        <v>0.5625</v>
      </c>
      <c r="E644" s="87" t="s">
        <v>58</v>
      </c>
      <c r="F644" s="87" t="s">
        <v>2680</v>
      </c>
      <c r="G644" s="87" t="s">
        <v>62</v>
      </c>
      <c r="H644" s="90" t="s">
        <v>3030</v>
      </c>
      <c r="I644" s="90" t="s">
        <v>128</v>
      </c>
      <c r="J644" s="87" t="s">
        <v>119</v>
      </c>
      <c r="K644" s="87" t="s">
        <v>217</v>
      </c>
      <c r="L644" s="90" t="s">
        <v>3031</v>
      </c>
      <c r="M644" s="91" t="s">
        <v>3032</v>
      </c>
      <c r="N644" s="90" t="s">
        <v>72</v>
      </c>
      <c r="O644" s="90" t="str">
        <f t="shared" si="79"/>
        <v>Engativá</v>
      </c>
      <c r="P644" s="87" t="s">
        <v>123</v>
      </c>
      <c r="Q644" s="87"/>
      <c r="R644" s="87"/>
      <c r="S644" s="87"/>
      <c r="T644" s="87"/>
      <c r="U644" s="87"/>
      <c r="V644" s="90" t="str">
        <f t="shared" si="82"/>
        <v>Occidente</v>
      </c>
      <c r="W644" s="87" t="s">
        <v>124</v>
      </c>
      <c r="X644" s="87"/>
      <c r="Y644" s="87"/>
      <c r="Z644" s="87"/>
      <c r="AA644" s="87"/>
      <c r="AB644" s="87"/>
      <c r="AC644" s="90" t="str">
        <f t="shared" si="83"/>
        <v>Engativá, Tabora, Salitre</v>
      </c>
      <c r="AD644" s="87" t="s">
        <v>123</v>
      </c>
      <c r="AE644" s="87" t="s">
        <v>257</v>
      </c>
      <c r="AF644" s="87" t="s">
        <v>258</v>
      </c>
      <c r="AG644" s="87"/>
      <c r="AH644" s="87"/>
      <c r="AI644" s="87"/>
      <c r="AJ644" s="87"/>
      <c r="AK644" s="87"/>
      <c r="AL644" s="87"/>
      <c r="AM644" s="87"/>
      <c r="AN644" s="90" t="s">
        <v>123</v>
      </c>
      <c r="AO644" s="90" t="s">
        <v>3033</v>
      </c>
      <c r="AP644" s="82"/>
      <c r="AQ644" s="87" t="s">
        <v>59</v>
      </c>
      <c r="AR644" s="87" t="s">
        <v>80</v>
      </c>
      <c r="AS644" s="82"/>
      <c r="AT644" s="87">
        <v>8</v>
      </c>
      <c r="AU644" s="87">
        <v>2</v>
      </c>
      <c r="AV644" s="87">
        <f t="shared" si="87"/>
        <v>10</v>
      </c>
      <c r="AW644" s="87" t="str">
        <f t="shared" si="54"/>
        <v>Accesibilidad Universal</v>
      </c>
      <c r="AX644" s="87" t="s">
        <v>246</v>
      </c>
      <c r="AY644" s="87"/>
      <c r="AZ644" s="87"/>
      <c r="BA644" s="91" t="s">
        <v>3034</v>
      </c>
      <c r="BB644" s="84"/>
      <c r="BC644" s="85"/>
      <c r="BD644" s="85"/>
    </row>
    <row r="645" spans="1:56" s="86" customFormat="1" ht="46.5" customHeight="1">
      <c r="A645" s="87">
        <v>640</v>
      </c>
      <c r="B645" s="79" t="s">
        <v>3035</v>
      </c>
      <c r="C645" s="88">
        <v>45470</v>
      </c>
      <c r="D645" s="89">
        <v>0.58333333333333337</v>
      </c>
      <c r="E645" s="87" t="s">
        <v>58</v>
      </c>
      <c r="F645" s="87" t="s">
        <v>1437</v>
      </c>
      <c r="G645" s="87" t="s">
        <v>95</v>
      </c>
      <c r="H645" s="90" t="s">
        <v>3036</v>
      </c>
      <c r="I645" s="90" t="s">
        <v>118</v>
      </c>
      <c r="J645" s="87" t="s">
        <v>173</v>
      </c>
      <c r="K645" s="87"/>
      <c r="L645" s="90" t="s">
        <v>72</v>
      </c>
      <c r="M645" s="90" t="s">
        <v>72</v>
      </c>
      <c r="N645" s="90" t="s">
        <v>72</v>
      </c>
      <c r="O645" s="90" t="str">
        <f t="shared" si="79"/>
        <v>Distrital</v>
      </c>
      <c r="P645" s="87" t="s">
        <v>73</v>
      </c>
      <c r="Q645" s="87"/>
      <c r="R645" s="87"/>
      <c r="S645" s="87"/>
      <c r="T645" s="87"/>
      <c r="U645" s="87"/>
      <c r="V645" s="90" t="str">
        <f t="shared" si="82"/>
        <v>Distrital</v>
      </c>
      <c r="W645" s="87" t="s">
        <v>73</v>
      </c>
      <c r="X645" s="87"/>
      <c r="Y645" s="87"/>
      <c r="Z645" s="87"/>
      <c r="AA645" s="87"/>
      <c r="AB645" s="87"/>
      <c r="AC645" s="90" t="str">
        <f t="shared" si="83"/>
        <v>Distrital</v>
      </c>
      <c r="AD645" s="87" t="s">
        <v>73</v>
      </c>
      <c r="AE645" s="87"/>
      <c r="AF645" s="87"/>
      <c r="AG645" s="87"/>
      <c r="AH645" s="87"/>
      <c r="AI645" s="87"/>
      <c r="AJ645" s="87"/>
      <c r="AK645" s="87"/>
      <c r="AL645" s="87"/>
      <c r="AM645" s="87"/>
      <c r="AN645" s="90" t="s">
        <v>160</v>
      </c>
      <c r="AO645" s="90" t="s">
        <v>3037</v>
      </c>
      <c r="AP645" s="82"/>
      <c r="AQ645" s="87" t="s">
        <v>59</v>
      </c>
      <c r="AR645" s="87" t="s">
        <v>80</v>
      </c>
      <c r="AS645" s="82"/>
      <c r="AT645" s="87">
        <v>2</v>
      </c>
      <c r="AU645" s="87">
        <v>5</v>
      </c>
      <c r="AV645" s="87">
        <f t="shared" si="87"/>
        <v>7</v>
      </c>
      <c r="AW645" s="87" t="str">
        <f t="shared" si="54"/>
        <v>Ninguna</v>
      </c>
      <c r="AX645" s="87" t="s">
        <v>75</v>
      </c>
      <c r="AY645" s="87"/>
      <c r="AZ645" s="87"/>
      <c r="BA645" s="91" t="s">
        <v>3038</v>
      </c>
      <c r="BB645" s="84"/>
      <c r="BC645" s="85"/>
      <c r="BD645" s="85"/>
    </row>
    <row r="646" spans="1:56" s="86" customFormat="1" ht="46.5" customHeight="1">
      <c r="A646" s="78">
        <v>641</v>
      </c>
      <c r="B646" s="79" t="s">
        <v>3039</v>
      </c>
      <c r="C646" s="88">
        <v>45470</v>
      </c>
      <c r="D646" s="89">
        <v>0.60416666666666663</v>
      </c>
      <c r="E646" s="87" t="s">
        <v>58</v>
      </c>
      <c r="F646" s="87" t="s">
        <v>2680</v>
      </c>
      <c r="G646" s="87" t="s">
        <v>62</v>
      </c>
      <c r="H646" s="90" t="s">
        <v>2898</v>
      </c>
      <c r="I646" s="90" t="s">
        <v>128</v>
      </c>
      <c r="J646" s="87" t="s">
        <v>119</v>
      </c>
      <c r="K646" s="87" t="s">
        <v>120</v>
      </c>
      <c r="L646" s="90" t="s">
        <v>3040</v>
      </c>
      <c r="M646" s="91" t="s">
        <v>3041</v>
      </c>
      <c r="N646" s="90" t="s">
        <v>3042</v>
      </c>
      <c r="O646" s="90" t="str">
        <f t="shared" si="79"/>
        <v>Usaquén</v>
      </c>
      <c r="P646" s="87" t="s">
        <v>428</v>
      </c>
      <c r="Q646" s="87"/>
      <c r="R646" s="87"/>
      <c r="S646" s="87"/>
      <c r="T646" s="87"/>
      <c r="U646" s="87"/>
      <c r="V646" s="90" t="str">
        <f t="shared" si="82"/>
        <v>Norte</v>
      </c>
      <c r="W646" s="87" t="s">
        <v>429</v>
      </c>
      <c r="X646" s="87"/>
      <c r="Y646" s="87"/>
      <c r="Z646" s="87"/>
      <c r="AA646" s="87"/>
      <c r="AB646" s="87"/>
      <c r="AC646" s="90" t="str">
        <f t="shared" si="83"/>
        <v>Usaquén, Toberín, Torca, Cerros Orientales</v>
      </c>
      <c r="AD646" s="87" t="s">
        <v>428</v>
      </c>
      <c r="AE646" s="87" t="s">
        <v>527</v>
      </c>
      <c r="AF646" s="87" t="s">
        <v>528</v>
      </c>
      <c r="AG646" s="87" t="s">
        <v>222</v>
      </c>
      <c r="AH646" s="87"/>
      <c r="AI646" s="87"/>
      <c r="AJ646" s="87"/>
      <c r="AK646" s="87"/>
      <c r="AL646" s="87"/>
      <c r="AM646" s="87"/>
      <c r="AN646" s="90" t="s">
        <v>3043</v>
      </c>
      <c r="AO646" s="90" t="s">
        <v>3044</v>
      </c>
      <c r="AP646" s="82"/>
      <c r="AQ646" s="87" t="s">
        <v>59</v>
      </c>
      <c r="AR646" s="87" t="s">
        <v>80</v>
      </c>
      <c r="AS646" s="82"/>
      <c r="AT646" s="87">
        <v>6</v>
      </c>
      <c r="AU646" s="87">
        <v>1</v>
      </c>
      <c r="AV646" s="87">
        <f t="shared" si="87"/>
        <v>7</v>
      </c>
      <c r="AW646" s="87" t="str">
        <f t="shared" si="54"/>
        <v>Horarios Acordes</v>
      </c>
      <c r="AX646" s="87" t="s">
        <v>213</v>
      </c>
      <c r="AY646" s="87"/>
      <c r="AZ646" s="87"/>
      <c r="BA646" s="91" t="s">
        <v>3045</v>
      </c>
      <c r="BB646" s="84"/>
      <c r="BC646" s="85"/>
      <c r="BD646" s="85"/>
    </row>
    <row r="647" spans="1:56" s="86" customFormat="1" ht="54.75" customHeight="1">
      <c r="A647" s="87">
        <v>642</v>
      </c>
      <c r="B647" s="79" t="s">
        <v>3046</v>
      </c>
      <c r="C647" s="88">
        <v>45470</v>
      </c>
      <c r="D647" s="89">
        <v>0.60416666666666663</v>
      </c>
      <c r="E647" s="87" t="s">
        <v>58</v>
      </c>
      <c r="F647" s="87" t="s">
        <v>2680</v>
      </c>
      <c r="G647" s="87" t="s">
        <v>62</v>
      </c>
      <c r="H647" s="90" t="s">
        <v>3047</v>
      </c>
      <c r="I647" s="90" t="s">
        <v>128</v>
      </c>
      <c r="J647" s="87" t="s">
        <v>173</v>
      </c>
      <c r="K647" s="87"/>
      <c r="L647" s="90" t="s">
        <v>72</v>
      </c>
      <c r="M647" s="91" t="s">
        <v>72</v>
      </c>
      <c r="N647" s="90" t="s">
        <v>72</v>
      </c>
      <c r="O647" s="90" t="str">
        <f t="shared" si="79"/>
        <v>Kennedy</v>
      </c>
      <c r="P647" s="87" t="s">
        <v>473</v>
      </c>
      <c r="Q647" s="87"/>
      <c r="R647" s="87"/>
      <c r="S647" s="87"/>
      <c r="T647" s="87"/>
      <c r="U647" s="87"/>
      <c r="V647" s="90" t="str">
        <f t="shared" si="82"/>
        <v>Suroccidente</v>
      </c>
      <c r="W647" s="87" t="s">
        <v>474</v>
      </c>
      <c r="X647" s="87"/>
      <c r="Y647" s="87"/>
      <c r="Z647" s="87"/>
      <c r="AA647" s="87"/>
      <c r="AB647" s="87"/>
      <c r="AC647" s="90" t="s">
        <v>3048</v>
      </c>
      <c r="AD647" s="87" t="s">
        <v>704</v>
      </c>
      <c r="AE647" s="87" t="s">
        <v>639</v>
      </c>
      <c r="AF647" s="87" t="s">
        <v>472</v>
      </c>
      <c r="AG647" s="87" t="s">
        <v>473</v>
      </c>
      <c r="AH647" s="87" t="s">
        <v>1134</v>
      </c>
      <c r="AI647" s="87" t="s">
        <v>705</v>
      </c>
      <c r="AJ647" s="87"/>
      <c r="AK647" s="87"/>
      <c r="AL647" s="87"/>
      <c r="AM647" s="87"/>
      <c r="AN647" s="90" t="s">
        <v>473</v>
      </c>
      <c r="AO647" s="90" t="s">
        <v>3049</v>
      </c>
      <c r="AP647" s="82"/>
      <c r="AQ647" s="87" t="s">
        <v>59</v>
      </c>
      <c r="AR647" s="87" t="s">
        <v>80</v>
      </c>
      <c r="AS647" s="82"/>
      <c r="AT647" s="87">
        <v>4</v>
      </c>
      <c r="AU647" s="87">
        <v>3</v>
      </c>
      <c r="AV647" s="87">
        <f t="shared" si="87"/>
        <v>7</v>
      </c>
      <c r="AW647" s="87" t="str">
        <f t="shared" si="54"/>
        <v>Ninguna</v>
      </c>
      <c r="AX647" s="87" t="s">
        <v>75</v>
      </c>
      <c r="AY647" s="87"/>
      <c r="AZ647" s="87"/>
      <c r="BA647" s="91" t="s">
        <v>3050</v>
      </c>
      <c r="BB647" s="84"/>
      <c r="BC647" s="85"/>
      <c r="BD647" s="85"/>
    </row>
    <row r="648" spans="1:56" s="86" customFormat="1" ht="46.5" customHeight="1">
      <c r="A648" s="78">
        <v>643</v>
      </c>
      <c r="B648" s="79" t="s">
        <v>3051</v>
      </c>
      <c r="C648" s="88">
        <v>45470</v>
      </c>
      <c r="D648" s="89">
        <v>0.66666666666666663</v>
      </c>
      <c r="E648" s="87" t="s">
        <v>58</v>
      </c>
      <c r="F648" s="87" t="s">
        <v>2680</v>
      </c>
      <c r="G648" s="87" t="s">
        <v>62</v>
      </c>
      <c r="H648" s="90" t="s">
        <v>2924</v>
      </c>
      <c r="I648" s="90" t="s">
        <v>128</v>
      </c>
      <c r="J648" s="87" t="s">
        <v>119</v>
      </c>
      <c r="K648" s="87" t="s">
        <v>120</v>
      </c>
      <c r="L648" s="90" t="s">
        <v>72</v>
      </c>
      <c r="M648" s="91" t="s">
        <v>72</v>
      </c>
      <c r="N648" s="90" t="s">
        <v>72</v>
      </c>
      <c r="O648" s="90" t="str">
        <f t="shared" si="79"/>
        <v>Kennedy</v>
      </c>
      <c r="P648" s="87" t="s">
        <v>473</v>
      </c>
      <c r="Q648" s="87"/>
      <c r="R648" s="87"/>
      <c r="S648" s="87"/>
      <c r="T648" s="87"/>
      <c r="U648" s="87"/>
      <c r="V648" s="90" t="str">
        <f t="shared" si="82"/>
        <v>Suroccidente</v>
      </c>
      <c r="W648" s="87" t="s">
        <v>474</v>
      </c>
      <c r="X648" s="87"/>
      <c r="Y648" s="87"/>
      <c r="Z648" s="87"/>
      <c r="AA648" s="87"/>
      <c r="AB648" s="87"/>
      <c r="AC648" s="90" t="s">
        <v>3048</v>
      </c>
      <c r="AD648" s="87" t="s">
        <v>704</v>
      </c>
      <c r="AE648" s="87" t="s">
        <v>639</v>
      </c>
      <c r="AF648" s="87" t="s">
        <v>472</v>
      </c>
      <c r="AG648" s="87" t="s">
        <v>473</v>
      </c>
      <c r="AH648" s="87" t="s">
        <v>1134</v>
      </c>
      <c r="AI648" s="87" t="s">
        <v>705</v>
      </c>
      <c r="AJ648" s="87"/>
      <c r="AK648" s="87"/>
      <c r="AL648" s="87"/>
      <c r="AM648" s="87"/>
      <c r="AN648" s="90" t="s">
        <v>3052</v>
      </c>
      <c r="AO648" s="90" t="s">
        <v>3053</v>
      </c>
      <c r="AP648" s="82"/>
      <c r="AQ648" s="87" t="s">
        <v>59</v>
      </c>
      <c r="AR648" s="87" t="s">
        <v>80</v>
      </c>
      <c r="AS648" s="82"/>
      <c r="AT648" s="87">
        <v>5</v>
      </c>
      <c r="AU648" s="87">
        <v>2</v>
      </c>
      <c r="AV648" s="87">
        <f t="shared" si="87"/>
        <v>7</v>
      </c>
      <c r="AW648" s="87" t="str">
        <f t="shared" si="54"/>
        <v>Horarios Acordes</v>
      </c>
      <c r="AX648" s="87" t="s">
        <v>213</v>
      </c>
      <c r="AY648" s="87"/>
      <c r="AZ648" s="87"/>
      <c r="BA648" s="91" t="s">
        <v>3054</v>
      </c>
      <c r="BB648" s="84"/>
      <c r="BC648" s="85"/>
      <c r="BD648" s="85"/>
    </row>
    <row r="649" spans="1:56" s="86" customFormat="1" ht="46.5" customHeight="1">
      <c r="A649" s="87">
        <v>644</v>
      </c>
      <c r="B649" s="79" t="s">
        <v>3055</v>
      </c>
      <c r="C649" s="88">
        <v>45470</v>
      </c>
      <c r="D649" s="89">
        <v>0.66666666666666663</v>
      </c>
      <c r="E649" s="87" t="s">
        <v>58</v>
      </c>
      <c r="F649" s="87" t="s">
        <v>2680</v>
      </c>
      <c r="G649" s="87" t="s">
        <v>62</v>
      </c>
      <c r="H649" s="90" t="s">
        <v>3056</v>
      </c>
      <c r="I649" s="90" t="s">
        <v>64</v>
      </c>
      <c r="J649" s="87" t="s">
        <v>119</v>
      </c>
      <c r="K649" s="87" t="s">
        <v>217</v>
      </c>
      <c r="L649" s="90" t="s">
        <v>3057</v>
      </c>
      <c r="M649" s="91" t="s">
        <v>3058</v>
      </c>
      <c r="N649" s="90" t="s">
        <v>3059</v>
      </c>
      <c r="O649" s="90" t="str">
        <f>_xlfn.TEXTJOIN(", ",TRUE,$P649:$T649)</f>
        <v>Chapinero</v>
      </c>
      <c r="P649" s="87" t="s">
        <v>221</v>
      </c>
      <c r="Q649" s="87"/>
      <c r="R649" s="87"/>
      <c r="S649" s="87"/>
      <c r="T649" s="87"/>
      <c r="U649" s="87"/>
      <c r="V649" s="90" t="str">
        <f>_xlfn.TEXTJOIN(", ",TRUE,$W649:$AB649)</f>
        <v>Centro Ampliado</v>
      </c>
      <c r="W649" s="87" t="s">
        <v>415</v>
      </c>
      <c r="X649" s="87"/>
      <c r="Y649" s="87"/>
      <c r="Z649" s="87"/>
      <c r="AA649" s="87"/>
      <c r="AB649" s="87"/>
      <c r="AC649" s="90" t="str">
        <f>_xlfn.TEXTJOIN(", ",TRUE,$AD649:$AM649)</f>
        <v>Chapinero, Cerros Orientales, Centro Histórico</v>
      </c>
      <c r="AD649" s="87" t="s">
        <v>221</v>
      </c>
      <c r="AE649" s="87" t="s">
        <v>222</v>
      </c>
      <c r="AF649" s="87" t="s">
        <v>488</v>
      </c>
      <c r="AG649" s="87"/>
      <c r="AH649" s="87"/>
      <c r="AI649" s="87"/>
      <c r="AJ649" s="87"/>
      <c r="AK649" s="87"/>
      <c r="AL649" s="87"/>
      <c r="AM649" s="87"/>
      <c r="AN649" s="90" t="s">
        <v>160</v>
      </c>
      <c r="AO649" s="90" t="s">
        <v>3060</v>
      </c>
      <c r="AP649" s="82"/>
      <c r="AQ649" s="87" t="s">
        <v>59</v>
      </c>
      <c r="AR649" s="87" t="s">
        <v>80</v>
      </c>
      <c r="AS649" s="82"/>
      <c r="AT649" s="87">
        <v>3</v>
      </c>
      <c r="AU649" s="87">
        <v>2</v>
      </c>
      <c r="AV649" s="87">
        <f>AT649+AU649</f>
        <v>5</v>
      </c>
      <c r="AW649" s="87" t="str">
        <f>_xlfn.TEXTJOIN(", ",TRUE,$AX649:$AZ649)</f>
        <v>Horarios Acordes</v>
      </c>
      <c r="AX649" s="87" t="s">
        <v>213</v>
      </c>
      <c r="AY649" s="87"/>
      <c r="AZ649" s="87"/>
      <c r="BA649" s="91" t="s">
        <v>3061</v>
      </c>
      <c r="BB649" s="84"/>
      <c r="BC649" s="85"/>
      <c r="BD649" s="85"/>
    </row>
    <row r="650" spans="1:56" s="86" customFormat="1" ht="46.5" customHeight="1">
      <c r="A650" s="78">
        <v>645</v>
      </c>
      <c r="B650" s="79" t="s">
        <v>3062</v>
      </c>
      <c r="C650" s="88">
        <v>45470</v>
      </c>
      <c r="D650" s="89">
        <v>0</v>
      </c>
      <c r="E650" s="87" t="s">
        <v>58</v>
      </c>
      <c r="F650" s="87" t="s">
        <v>2680</v>
      </c>
      <c r="G650" s="87" t="s">
        <v>62</v>
      </c>
      <c r="H650" s="90" t="s">
        <v>3063</v>
      </c>
      <c r="I650" s="90" t="s">
        <v>128</v>
      </c>
      <c r="J650" s="87" t="s">
        <v>119</v>
      </c>
      <c r="K650" s="87" t="s">
        <v>120</v>
      </c>
      <c r="L650" s="90" t="s">
        <v>72</v>
      </c>
      <c r="M650" s="91" t="s">
        <v>72</v>
      </c>
      <c r="N650" s="90" t="s">
        <v>72</v>
      </c>
      <c r="O650" s="90" t="str">
        <f t="shared" si="79"/>
        <v>Kennedy</v>
      </c>
      <c r="P650" s="87" t="s">
        <v>473</v>
      </c>
      <c r="Q650" s="87"/>
      <c r="R650" s="87"/>
      <c r="S650" s="87"/>
      <c r="T650" s="87"/>
      <c r="U650" s="87"/>
      <c r="V650" s="90" t="str">
        <f t="shared" si="82"/>
        <v>Suroccidente</v>
      </c>
      <c r="W650" s="87" t="s">
        <v>474</v>
      </c>
      <c r="X650" s="87"/>
      <c r="Y650" s="87"/>
      <c r="Z650" s="87"/>
      <c r="AA650" s="87"/>
      <c r="AB650" s="87"/>
      <c r="AC650" s="90" t="s">
        <v>3048</v>
      </c>
      <c r="AD650" s="87" t="s">
        <v>704</v>
      </c>
      <c r="AE650" s="87" t="s">
        <v>639</v>
      </c>
      <c r="AF650" s="87" t="s">
        <v>472</v>
      </c>
      <c r="AG650" s="87" t="s">
        <v>473</v>
      </c>
      <c r="AH650" s="87" t="s">
        <v>1134</v>
      </c>
      <c r="AI650" s="87" t="s">
        <v>705</v>
      </c>
      <c r="AJ650" s="87"/>
      <c r="AK650" s="87"/>
      <c r="AL650" s="87"/>
      <c r="AM650" s="87"/>
      <c r="AN650" s="90" t="s">
        <v>3064</v>
      </c>
      <c r="AO650" s="90" t="s">
        <v>3065</v>
      </c>
      <c r="AP650" s="82"/>
      <c r="AQ650" s="87" t="s">
        <v>59</v>
      </c>
      <c r="AR650" s="87" t="s">
        <v>80</v>
      </c>
      <c r="AS650" s="82"/>
      <c r="AT650" s="87">
        <v>2</v>
      </c>
      <c r="AU650" s="87">
        <v>2</v>
      </c>
      <c r="AV650" s="87">
        <f t="shared" si="87"/>
        <v>4</v>
      </c>
      <c r="AW650" s="87" t="str">
        <f t="shared" si="54"/>
        <v>Horarios Acordes</v>
      </c>
      <c r="AX650" s="87" t="s">
        <v>213</v>
      </c>
      <c r="AY650" s="87"/>
      <c r="AZ650" s="87"/>
      <c r="BA650" s="91" t="s">
        <v>3066</v>
      </c>
      <c r="BB650" s="84"/>
      <c r="BC650" s="85"/>
      <c r="BD650" s="85"/>
    </row>
    <row r="651" spans="1:56" s="86" customFormat="1" ht="46.5" customHeight="1">
      <c r="A651" s="87">
        <v>646</v>
      </c>
      <c r="B651" s="79" t="s">
        <v>3067</v>
      </c>
      <c r="C651" s="88">
        <v>45471</v>
      </c>
      <c r="D651" s="89">
        <v>0.33333333333333331</v>
      </c>
      <c r="E651" s="87" t="s">
        <v>58</v>
      </c>
      <c r="F651" s="87" t="s">
        <v>2227</v>
      </c>
      <c r="G651" s="87" t="s">
        <v>62</v>
      </c>
      <c r="H651" s="90" t="s">
        <v>3068</v>
      </c>
      <c r="I651" s="90" t="s">
        <v>172</v>
      </c>
      <c r="J651" s="87" t="s">
        <v>173</v>
      </c>
      <c r="K651" s="87"/>
      <c r="L651" s="90" t="s">
        <v>3069</v>
      </c>
      <c r="M651" s="91" t="s">
        <v>3070</v>
      </c>
      <c r="N651" s="90" t="s">
        <v>3071</v>
      </c>
      <c r="O651" s="90" t="str">
        <f t="shared" si="79"/>
        <v>Barrios Unidos</v>
      </c>
      <c r="P651" s="87" t="s">
        <v>686</v>
      </c>
      <c r="Q651" s="87"/>
      <c r="R651" s="87"/>
      <c r="S651" s="87"/>
      <c r="T651" s="87"/>
      <c r="U651" s="87"/>
      <c r="V651" s="90" t="str">
        <f t="shared" si="82"/>
        <v>Centro Ampliado</v>
      </c>
      <c r="W651" s="87" t="s">
        <v>415</v>
      </c>
      <c r="X651" s="87"/>
      <c r="Y651" s="87"/>
      <c r="Z651" s="87"/>
      <c r="AA651" s="87"/>
      <c r="AB651" s="87"/>
      <c r="AC651" s="90" t="str">
        <f t="shared" ref="AC651" si="88">_xlfn.TEXTJOIN(", ",TRUE,$AD651:$AM651)</f>
        <v>Barrios Unidos</v>
      </c>
      <c r="AD651" s="87" t="s">
        <v>686</v>
      </c>
      <c r="AE651" s="87"/>
      <c r="AF651" s="87"/>
      <c r="AG651" s="87"/>
      <c r="AH651" s="87"/>
      <c r="AI651" s="87"/>
      <c r="AJ651" s="87"/>
      <c r="AK651" s="87"/>
      <c r="AL651" s="87"/>
      <c r="AM651" s="87"/>
      <c r="AN651" s="90" t="s">
        <v>3072</v>
      </c>
      <c r="AO651" s="90" t="s">
        <v>3073</v>
      </c>
      <c r="AP651" s="82"/>
      <c r="AQ651" s="87" t="s">
        <v>59</v>
      </c>
      <c r="AR651" s="87" t="s">
        <v>80</v>
      </c>
      <c r="AS651" s="82"/>
      <c r="AT651" s="87">
        <v>3</v>
      </c>
      <c r="AU651" s="87">
        <v>4</v>
      </c>
      <c r="AV651" s="87">
        <f t="shared" si="87"/>
        <v>7</v>
      </c>
      <c r="AW651" s="87" t="str">
        <f t="shared" si="54"/>
        <v>Ninguna</v>
      </c>
      <c r="AX651" s="87" t="s">
        <v>75</v>
      </c>
      <c r="AY651" s="87"/>
      <c r="AZ651" s="87"/>
      <c r="BA651" s="91" t="s">
        <v>3074</v>
      </c>
      <c r="BB651" s="84"/>
      <c r="BC651" s="85"/>
      <c r="BD651" s="85"/>
    </row>
    <row r="652" spans="1:56" s="86" customFormat="1" ht="60" customHeight="1">
      <c r="A652" s="78">
        <v>647</v>
      </c>
      <c r="B652" s="79" t="s">
        <v>3075</v>
      </c>
      <c r="C652" s="88">
        <v>45471</v>
      </c>
      <c r="D652" s="89">
        <v>0.41666666666666669</v>
      </c>
      <c r="E652" s="87" t="s">
        <v>58</v>
      </c>
      <c r="F652" s="87" t="s">
        <v>2680</v>
      </c>
      <c r="G652" s="87" t="s">
        <v>62</v>
      </c>
      <c r="H652" s="90" t="s">
        <v>3076</v>
      </c>
      <c r="I652" s="90" t="s">
        <v>64</v>
      </c>
      <c r="J652" s="87" t="s">
        <v>119</v>
      </c>
      <c r="K652" s="87" t="s">
        <v>217</v>
      </c>
      <c r="L652" s="90" t="s">
        <v>3077</v>
      </c>
      <c r="M652" s="91" t="s">
        <v>3078</v>
      </c>
      <c r="N652" s="90" t="s">
        <v>3079</v>
      </c>
      <c r="O652" s="90" t="str">
        <f t="shared" si="79"/>
        <v>Tunjuelito</v>
      </c>
      <c r="P652" s="87" t="s">
        <v>618</v>
      </c>
      <c r="Q652" s="87"/>
      <c r="R652" s="87"/>
      <c r="S652" s="87"/>
      <c r="T652" s="87"/>
      <c r="U652" s="87"/>
      <c r="V652" s="90" t="str">
        <f t="shared" si="82"/>
        <v>Suroriente</v>
      </c>
      <c r="W652" s="87" t="s">
        <v>108</v>
      </c>
      <c r="X652" s="87"/>
      <c r="Y652" s="87"/>
      <c r="Z652" s="87"/>
      <c r="AA652" s="87"/>
      <c r="AB652" s="87"/>
      <c r="AC652" s="90" t="str">
        <f t="shared" si="83"/>
        <v>Tunjuelito, Arborizadora</v>
      </c>
      <c r="AD652" s="87" t="s">
        <v>618</v>
      </c>
      <c r="AE652" s="87" t="s">
        <v>110</v>
      </c>
      <c r="AF652" s="87"/>
      <c r="AG652" s="87"/>
      <c r="AH652" s="87"/>
      <c r="AI652" s="87"/>
      <c r="AJ652" s="87"/>
      <c r="AK652" s="87"/>
      <c r="AL652" s="87"/>
      <c r="AM652" s="87"/>
      <c r="AN652" s="90" t="s">
        <v>160</v>
      </c>
      <c r="AO652" s="90" t="s">
        <v>90</v>
      </c>
      <c r="AP652" s="82"/>
      <c r="AQ652" s="87" t="s">
        <v>59</v>
      </c>
      <c r="AR652" s="87" t="s">
        <v>80</v>
      </c>
      <c r="AS652" s="82"/>
      <c r="AT652" s="87">
        <v>11</v>
      </c>
      <c r="AU652" s="87">
        <v>1</v>
      </c>
      <c r="AV652" s="87">
        <f t="shared" ref="AV652:AV653" si="89">AT652+AU652</f>
        <v>12</v>
      </c>
      <c r="AW652" s="87" t="str">
        <f t="shared" si="54"/>
        <v>Horarios Acordes</v>
      </c>
      <c r="AX652" s="87" t="s">
        <v>213</v>
      </c>
      <c r="AY652" s="87"/>
      <c r="AZ652" s="87"/>
      <c r="BA652" s="91" t="s">
        <v>3080</v>
      </c>
      <c r="BB652" s="84"/>
      <c r="BC652" s="85"/>
      <c r="BD652" s="85"/>
    </row>
    <row r="653" spans="1:56" s="86" customFormat="1" ht="60" customHeight="1">
      <c r="A653" s="87">
        <v>648</v>
      </c>
      <c r="B653" s="79" t="s">
        <v>3081</v>
      </c>
      <c r="C653" s="88">
        <v>45471</v>
      </c>
      <c r="D653" s="89">
        <v>0.41666666666666669</v>
      </c>
      <c r="E653" s="87" t="s">
        <v>58</v>
      </c>
      <c r="F653" s="87" t="s">
        <v>135</v>
      </c>
      <c r="G653" s="87" t="s">
        <v>95</v>
      </c>
      <c r="H653" s="90" t="s">
        <v>3082</v>
      </c>
      <c r="I653" s="90" t="s">
        <v>118</v>
      </c>
      <c r="J653" s="87" t="s">
        <v>173</v>
      </c>
      <c r="K653" s="87"/>
      <c r="L653" s="90" t="s">
        <v>72</v>
      </c>
      <c r="M653" s="91" t="s">
        <v>72</v>
      </c>
      <c r="N653" s="90" t="s">
        <v>72</v>
      </c>
      <c r="O653" s="90" t="str">
        <f t="shared" si="79"/>
        <v>Distrital</v>
      </c>
      <c r="P653" s="87" t="s">
        <v>73</v>
      </c>
      <c r="Q653" s="87"/>
      <c r="R653" s="87"/>
      <c r="S653" s="87"/>
      <c r="T653" s="87"/>
      <c r="U653" s="87"/>
      <c r="V653" s="90" t="str">
        <f t="shared" si="82"/>
        <v>Distrital</v>
      </c>
      <c r="W653" s="87" t="s">
        <v>73</v>
      </c>
      <c r="X653" s="87"/>
      <c r="Y653" s="87"/>
      <c r="Z653" s="87"/>
      <c r="AA653" s="87"/>
      <c r="AB653" s="87"/>
      <c r="AC653" s="90" t="str">
        <f t="shared" si="83"/>
        <v>Distrital</v>
      </c>
      <c r="AD653" s="87" t="s">
        <v>73</v>
      </c>
      <c r="AE653" s="87"/>
      <c r="AF653" s="87"/>
      <c r="AG653" s="87"/>
      <c r="AH653" s="87"/>
      <c r="AI653" s="87"/>
      <c r="AJ653" s="87"/>
      <c r="AK653" s="87"/>
      <c r="AL653" s="87"/>
      <c r="AM653" s="87"/>
      <c r="AN653" s="90" t="s">
        <v>160</v>
      </c>
      <c r="AO653" s="90" t="s">
        <v>3083</v>
      </c>
      <c r="AP653" s="82"/>
      <c r="AQ653" s="87" t="s">
        <v>59</v>
      </c>
      <c r="AR653" s="87" t="s">
        <v>80</v>
      </c>
      <c r="AS653" s="82"/>
      <c r="AT653" s="87">
        <v>1</v>
      </c>
      <c r="AU653" s="87">
        <v>4</v>
      </c>
      <c r="AV653" s="87">
        <f t="shared" si="89"/>
        <v>5</v>
      </c>
      <c r="AW653" s="87" t="str">
        <f t="shared" si="54"/>
        <v>Ninguna</v>
      </c>
      <c r="AX653" s="87" t="s">
        <v>75</v>
      </c>
      <c r="AY653" s="87"/>
      <c r="AZ653" s="87"/>
      <c r="BA653" s="91" t="s">
        <v>3084</v>
      </c>
      <c r="BB653" s="84"/>
      <c r="BC653" s="85"/>
      <c r="BD653" s="85"/>
    </row>
    <row r="654" spans="1:56" s="86" customFormat="1" ht="46.5" customHeight="1">
      <c r="A654" s="78">
        <v>649</v>
      </c>
      <c r="B654" s="79" t="s">
        <v>3085</v>
      </c>
      <c r="C654" s="88">
        <v>45471</v>
      </c>
      <c r="D654" s="89">
        <v>0.54166666666666663</v>
      </c>
      <c r="E654" s="87" t="s">
        <v>562</v>
      </c>
      <c r="F654" s="87" t="s">
        <v>1472</v>
      </c>
      <c r="G654" s="87" t="s">
        <v>62</v>
      </c>
      <c r="H654" s="90" t="s">
        <v>3086</v>
      </c>
      <c r="I654" s="90" t="s">
        <v>64</v>
      </c>
      <c r="J654" s="87" t="s">
        <v>173</v>
      </c>
      <c r="K654" s="87"/>
      <c r="L654" s="90" t="s">
        <v>3087</v>
      </c>
      <c r="M654" s="91">
        <v>3106502869</v>
      </c>
      <c r="N654" s="90" t="s">
        <v>1475</v>
      </c>
      <c r="O654" s="90" t="str">
        <f t="shared" si="79"/>
        <v>Distrital</v>
      </c>
      <c r="P654" s="87" t="s">
        <v>73</v>
      </c>
      <c r="Q654" s="87"/>
      <c r="R654" s="87"/>
      <c r="S654" s="87"/>
      <c r="T654" s="87"/>
      <c r="U654" s="87"/>
      <c r="V654" s="90" t="str">
        <f t="shared" si="82"/>
        <v>Distrital</v>
      </c>
      <c r="W654" s="87" t="s">
        <v>73</v>
      </c>
      <c r="X654" s="87"/>
      <c r="Y654" s="87"/>
      <c r="Z654" s="87"/>
      <c r="AA654" s="87"/>
      <c r="AB654" s="87"/>
      <c r="AC654" s="90" t="str">
        <f t="shared" si="83"/>
        <v>Distrital</v>
      </c>
      <c r="AD654" s="87" t="s">
        <v>73</v>
      </c>
      <c r="AE654" s="87"/>
      <c r="AF654" s="87"/>
      <c r="AG654" s="87"/>
      <c r="AH654" s="87"/>
      <c r="AI654" s="87"/>
      <c r="AJ654" s="87"/>
      <c r="AK654" s="87"/>
      <c r="AL654" s="87"/>
      <c r="AM654" s="87"/>
      <c r="AN654" s="90" t="s">
        <v>665</v>
      </c>
      <c r="AO654" s="90" t="s">
        <v>3088</v>
      </c>
      <c r="AP654" s="82"/>
      <c r="AQ654" s="87" t="s">
        <v>59</v>
      </c>
      <c r="AR654" s="87" t="s">
        <v>80</v>
      </c>
      <c r="AS654" s="82"/>
      <c r="AT654" s="87">
        <v>3</v>
      </c>
      <c r="AU654" s="87">
        <v>3</v>
      </c>
      <c r="AV654" s="87">
        <f t="shared" si="46"/>
        <v>6</v>
      </c>
      <c r="AW654" s="87" t="str">
        <f t="shared" si="54"/>
        <v>Horarios Acordes</v>
      </c>
      <c r="AX654" s="87" t="s">
        <v>213</v>
      </c>
      <c r="AY654" s="87"/>
      <c r="AZ654" s="87"/>
      <c r="BA654" s="91" t="s">
        <v>3089</v>
      </c>
      <c r="BB654" s="84"/>
      <c r="BC654" s="85"/>
      <c r="BD654" s="85"/>
    </row>
    <row r="655" spans="1:56" s="86" customFormat="1" ht="46.5" customHeight="1">
      <c r="A655" s="87">
        <v>650</v>
      </c>
      <c r="B655" s="79" t="s">
        <v>3090</v>
      </c>
      <c r="C655" s="88">
        <v>45471</v>
      </c>
      <c r="D655" s="89">
        <v>0.58333333333333337</v>
      </c>
      <c r="E655" s="87" t="s">
        <v>58</v>
      </c>
      <c r="F655" s="87" t="s">
        <v>2680</v>
      </c>
      <c r="G655" s="87" t="s">
        <v>62</v>
      </c>
      <c r="H655" s="90" t="s">
        <v>3091</v>
      </c>
      <c r="I655" s="90" t="s">
        <v>128</v>
      </c>
      <c r="J655" s="87" t="s">
        <v>70</v>
      </c>
      <c r="K655" s="87" t="s">
        <v>71</v>
      </c>
      <c r="L655" s="90" t="s">
        <v>3092</v>
      </c>
      <c r="M655" s="91">
        <v>3014581223</v>
      </c>
      <c r="N655" s="90" t="s">
        <v>3093</v>
      </c>
      <c r="O655" s="90" t="str">
        <f t="shared" si="79"/>
        <v>Rafael Uribe Uribe</v>
      </c>
      <c r="P655" s="87" t="s">
        <v>414</v>
      </c>
      <c r="Q655" s="87"/>
      <c r="R655" s="87"/>
      <c r="S655" s="87"/>
      <c r="T655" s="87"/>
      <c r="U655" s="87"/>
      <c r="V655" s="90" t="str">
        <f t="shared" si="82"/>
        <v>Suroriente</v>
      </c>
      <c r="W655" s="87" t="s">
        <v>108</v>
      </c>
      <c r="X655" s="87"/>
      <c r="Y655" s="87"/>
      <c r="Z655" s="87"/>
      <c r="AA655" s="87"/>
      <c r="AB655" s="87"/>
      <c r="AC655" s="90" t="str">
        <f t="shared" si="83"/>
        <v>Restrepo, Rafael Uribe, San Cristobal</v>
      </c>
      <c r="AD655" s="87" t="s">
        <v>416</v>
      </c>
      <c r="AE655" s="87" t="s">
        <v>467</v>
      </c>
      <c r="AF655" s="87" t="s">
        <v>371</v>
      </c>
      <c r="AG655" s="87"/>
      <c r="AH655" s="87"/>
      <c r="AI655" s="87"/>
      <c r="AJ655" s="87"/>
      <c r="AK655" s="87"/>
      <c r="AL655" s="87"/>
      <c r="AM655" s="87"/>
      <c r="AN655" s="90" t="s">
        <v>1364</v>
      </c>
      <c r="AO655" s="90" t="s">
        <v>3094</v>
      </c>
      <c r="AP655" s="82"/>
      <c r="AQ655" s="87" t="s">
        <v>59</v>
      </c>
      <c r="AR655" s="87" t="s">
        <v>80</v>
      </c>
      <c r="AS655" s="82"/>
      <c r="AT655" s="87">
        <v>10</v>
      </c>
      <c r="AU655" s="87">
        <v>1</v>
      </c>
      <c r="AV655" s="87">
        <f t="shared" ref="AV655" si="90">AT655+AU655</f>
        <v>11</v>
      </c>
      <c r="AW655" s="87" t="str">
        <f t="shared" si="54"/>
        <v>Ninguna</v>
      </c>
      <c r="AX655" s="87" t="s">
        <v>75</v>
      </c>
      <c r="AY655" s="87"/>
      <c r="AZ655" s="87"/>
      <c r="BA655" s="91" t="s">
        <v>3095</v>
      </c>
      <c r="BB655" s="84"/>
      <c r="BC655" s="85"/>
      <c r="BD655" s="85"/>
    </row>
    <row r="656" spans="1:56" s="86" customFormat="1" ht="46.5" customHeight="1">
      <c r="A656" s="78">
        <v>651</v>
      </c>
      <c r="B656" s="79" t="s">
        <v>3096</v>
      </c>
      <c r="C656" s="88">
        <v>45472</v>
      </c>
      <c r="D656" s="89">
        <v>0.45833333333333331</v>
      </c>
      <c r="E656" s="87" t="s">
        <v>58</v>
      </c>
      <c r="F656" s="87" t="s">
        <v>2680</v>
      </c>
      <c r="G656" s="87" t="s">
        <v>62</v>
      </c>
      <c r="H656" s="90" t="s">
        <v>3097</v>
      </c>
      <c r="I656" s="90" t="s">
        <v>128</v>
      </c>
      <c r="J656" s="87" t="s">
        <v>119</v>
      </c>
      <c r="K656" s="87" t="s">
        <v>610</v>
      </c>
      <c r="L656" s="90" t="s">
        <v>3092</v>
      </c>
      <c r="M656" s="91" t="s">
        <v>3098</v>
      </c>
      <c r="N656" s="90" t="s">
        <v>3093</v>
      </c>
      <c r="O656" s="90" t="str">
        <f t="shared" si="79"/>
        <v>Rafael Uribe Uribe</v>
      </c>
      <c r="P656" s="87" t="s">
        <v>414</v>
      </c>
      <c r="Q656" s="87"/>
      <c r="R656" s="87"/>
      <c r="S656" s="87"/>
      <c r="T656" s="87"/>
      <c r="U656" s="87"/>
      <c r="V656" s="90" t="str">
        <f t="shared" si="82"/>
        <v>Suroriente</v>
      </c>
      <c r="W656" s="87" t="s">
        <v>108</v>
      </c>
      <c r="X656" s="87"/>
      <c r="Y656" s="87"/>
      <c r="Z656" s="87"/>
      <c r="AA656" s="87"/>
      <c r="AB656" s="87"/>
      <c r="AC656" s="90" t="str">
        <f t="shared" si="83"/>
        <v>Restrepo, Rafael Uribe, San Cristobal</v>
      </c>
      <c r="AD656" s="87" t="s">
        <v>416</v>
      </c>
      <c r="AE656" s="87" t="s">
        <v>467</v>
      </c>
      <c r="AF656" s="87" t="s">
        <v>371</v>
      </c>
      <c r="AG656" s="87"/>
      <c r="AH656" s="87"/>
      <c r="AI656" s="87"/>
      <c r="AJ656" s="87"/>
      <c r="AK656" s="87"/>
      <c r="AL656" s="87"/>
      <c r="AM656" s="87"/>
      <c r="AN656" s="90" t="s">
        <v>3099</v>
      </c>
      <c r="AO656" s="90" t="s">
        <v>3100</v>
      </c>
      <c r="AP656" s="82"/>
      <c r="AQ656" s="87" t="s">
        <v>59</v>
      </c>
      <c r="AR656" s="87" t="s">
        <v>80</v>
      </c>
      <c r="AS656" s="82"/>
      <c r="AT656" s="87">
        <v>7</v>
      </c>
      <c r="AU656" s="87">
        <v>1</v>
      </c>
      <c r="AV656" s="87">
        <f t="shared" ref="AV656:AV657" si="91">AT656+AU656</f>
        <v>8</v>
      </c>
      <c r="AW656" s="87" t="str">
        <f t="shared" si="54"/>
        <v>Ninguna</v>
      </c>
      <c r="AX656" s="87" t="s">
        <v>75</v>
      </c>
      <c r="AY656" s="87"/>
      <c r="AZ656" s="87"/>
      <c r="BA656" s="108" t="s">
        <v>3101</v>
      </c>
      <c r="BB656" s="84"/>
      <c r="BC656" s="85"/>
      <c r="BD656" s="85"/>
    </row>
    <row r="657" spans="1:56" s="86" customFormat="1" ht="46.5" customHeight="1">
      <c r="A657" s="87">
        <v>652</v>
      </c>
      <c r="B657" s="79" t="s">
        <v>3102</v>
      </c>
      <c r="C657" s="88">
        <v>45472</v>
      </c>
      <c r="D657" s="89">
        <v>0.5</v>
      </c>
      <c r="E657" s="87" t="s">
        <v>58</v>
      </c>
      <c r="F657" s="87" t="s">
        <v>2680</v>
      </c>
      <c r="G657" s="87" t="s">
        <v>62</v>
      </c>
      <c r="H657" s="90" t="s">
        <v>3103</v>
      </c>
      <c r="I657" s="90" t="s">
        <v>128</v>
      </c>
      <c r="J657" s="87" t="s">
        <v>119</v>
      </c>
      <c r="K657" s="87" t="s">
        <v>120</v>
      </c>
      <c r="L657" s="90" t="s">
        <v>3104</v>
      </c>
      <c r="M657" s="91" t="s">
        <v>3105</v>
      </c>
      <c r="N657" s="90" t="s">
        <v>3106</v>
      </c>
      <c r="O657" s="90" t="str">
        <f t="shared" si="79"/>
        <v>Rafael Uribe Uribe</v>
      </c>
      <c r="P657" s="87" t="s">
        <v>414</v>
      </c>
      <c r="Q657" s="87"/>
      <c r="R657" s="87"/>
      <c r="S657" s="87"/>
      <c r="T657" s="87"/>
      <c r="U657" s="87"/>
      <c r="V657" s="90" t="str">
        <f t="shared" si="82"/>
        <v>Suroriente</v>
      </c>
      <c r="W657" s="87" t="s">
        <v>108</v>
      </c>
      <c r="X657" s="87"/>
      <c r="Y657" s="87"/>
      <c r="Z657" s="87"/>
      <c r="AA657" s="87"/>
      <c r="AB657" s="87"/>
      <c r="AC657" s="90" t="str">
        <f t="shared" si="83"/>
        <v>Restrepo, Rafael Uribe, San Cristobal</v>
      </c>
      <c r="AD657" s="87" t="s">
        <v>416</v>
      </c>
      <c r="AE657" s="87" t="s">
        <v>467</v>
      </c>
      <c r="AF657" s="87" t="s">
        <v>371</v>
      </c>
      <c r="AG657" s="87"/>
      <c r="AH657" s="87"/>
      <c r="AI657" s="87"/>
      <c r="AJ657" s="87"/>
      <c r="AK657" s="87"/>
      <c r="AL657" s="87"/>
      <c r="AM657" s="87"/>
      <c r="AN657" s="90" t="s">
        <v>3107</v>
      </c>
      <c r="AO657" s="90" t="s">
        <v>3108</v>
      </c>
      <c r="AP657" s="82"/>
      <c r="AQ657" s="87" t="s">
        <v>59</v>
      </c>
      <c r="AR657" s="87" t="s">
        <v>80</v>
      </c>
      <c r="AS657" s="82"/>
      <c r="AT657" s="87">
        <v>2</v>
      </c>
      <c r="AU657" s="87">
        <v>1</v>
      </c>
      <c r="AV657" s="87">
        <f t="shared" si="91"/>
        <v>3</v>
      </c>
      <c r="AW657" s="87" t="str">
        <f t="shared" si="54"/>
        <v>Ninguna</v>
      </c>
      <c r="AX657" s="87" t="s">
        <v>75</v>
      </c>
      <c r="AY657" s="87"/>
      <c r="AZ657" s="87"/>
      <c r="BA657" s="108" t="s">
        <v>3101</v>
      </c>
      <c r="BB657" s="84"/>
      <c r="BC657" s="85"/>
      <c r="BD657" s="85"/>
    </row>
    <row r="658" spans="1:56" s="86" customFormat="1" ht="46.5" customHeight="1">
      <c r="A658" s="78">
        <v>653</v>
      </c>
      <c r="B658" s="79" t="s">
        <v>3109</v>
      </c>
      <c r="C658" s="88">
        <v>45472</v>
      </c>
      <c r="D658" s="89">
        <v>0.54166666666666663</v>
      </c>
      <c r="E658" s="87" t="s">
        <v>58</v>
      </c>
      <c r="F658" s="87" t="s">
        <v>2680</v>
      </c>
      <c r="G658" s="87" t="s">
        <v>62</v>
      </c>
      <c r="H658" s="90" t="s">
        <v>3110</v>
      </c>
      <c r="I658" s="90" t="s">
        <v>128</v>
      </c>
      <c r="J658" s="87" t="s">
        <v>119</v>
      </c>
      <c r="K658" s="87" t="s">
        <v>120</v>
      </c>
      <c r="L658" s="90" t="s">
        <v>3111</v>
      </c>
      <c r="M658" s="91" t="s">
        <v>3112</v>
      </c>
      <c r="N658" s="90" t="s">
        <v>3113</v>
      </c>
      <c r="O658" s="90" t="str">
        <f t="shared" si="79"/>
        <v>Rafael Uribe Uribe</v>
      </c>
      <c r="P658" s="87" t="s">
        <v>414</v>
      </c>
      <c r="Q658" s="87"/>
      <c r="R658" s="87"/>
      <c r="S658" s="87"/>
      <c r="T658" s="87"/>
      <c r="U658" s="87"/>
      <c r="V658" s="90" t="str">
        <f t="shared" si="82"/>
        <v>Suroriente</v>
      </c>
      <c r="W658" s="87" t="s">
        <v>108</v>
      </c>
      <c r="X658" s="87"/>
      <c r="Y658" s="87"/>
      <c r="Z658" s="87"/>
      <c r="AA658" s="87"/>
      <c r="AB658" s="87"/>
      <c r="AC658" s="90" t="str">
        <f t="shared" si="83"/>
        <v>Restrepo, Rafael Uribe, San Cristobal</v>
      </c>
      <c r="AD658" s="87" t="s">
        <v>416</v>
      </c>
      <c r="AE658" s="87" t="s">
        <v>467</v>
      </c>
      <c r="AF658" s="87" t="s">
        <v>371</v>
      </c>
      <c r="AG658" s="87"/>
      <c r="AH658" s="87"/>
      <c r="AI658" s="87"/>
      <c r="AJ658" s="87"/>
      <c r="AK658" s="87"/>
      <c r="AL658" s="87"/>
      <c r="AM658" s="87"/>
      <c r="AN658" s="90" t="s">
        <v>3114</v>
      </c>
      <c r="AO658" s="90" t="s">
        <v>3115</v>
      </c>
      <c r="AP658" s="82"/>
      <c r="AQ658" s="87" t="s">
        <v>59</v>
      </c>
      <c r="AR658" s="87" t="s">
        <v>80</v>
      </c>
      <c r="AS658" s="82"/>
      <c r="AT658" s="87">
        <v>1</v>
      </c>
      <c r="AU658" s="87">
        <v>1</v>
      </c>
      <c r="AV658" s="87">
        <v>2</v>
      </c>
      <c r="AW658" s="87" t="str">
        <f t="shared" si="54"/>
        <v>Ninguna</v>
      </c>
      <c r="AX658" s="87" t="s">
        <v>75</v>
      </c>
      <c r="AY658" s="87"/>
      <c r="AZ658" s="87"/>
      <c r="BA658" s="108" t="s">
        <v>3101</v>
      </c>
      <c r="BB658" s="84"/>
      <c r="BC658" s="85"/>
      <c r="BD658" s="85"/>
    </row>
    <row r="659" spans="1:56" s="86" customFormat="1" ht="46.5" customHeight="1">
      <c r="A659" s="87">
        <v>654</v>
      </c>
      <c r="B659" s="79" t="s">
        <v>3116</v>
      </c>
      <c r="C659" s="88">
        <v>45472</v>
      </c>
      <c r="D659" s="89">
        <v>0.72916666666666663</v>
      </c>
      <c r="E659" s="87" t="s">
        <v>562</v>
      </c>
      <c r="F659" s="87" t="s">
        <v>1472</v>
      </c>
      <c r="G659" s="87" t="s">
        <v>62</v>
      </c>
      <c r="H659" s="90" t="s">
        <v>3117</v>
      </c>
      <c r="I659" s="90" t="s">
        <v>64</v>
      </c>
      <c r="J659" s="87" t="s">
        <v>173</v>
      </c>
      <c r="K659" s="87"/>
      <c r="L659" s="90" t="s">
        <v>3087</v>
      </c>
      <c r="M659" s="91">
        <v>3106502869</v>
      </c>
      <c r="N659" s="90" t="s">
        <v>1475</v>
      </c>
      <c r="O659" s="90" t="str">
        <f t="shared" si="79"/>
        <v>Distrital</v>
      </c>
      <c r="P659" s="87" t="s">
        <v>73</v>
      </c>
      <c r="Q659" s="87"/>
      <c r="R659" s="87"/>
      <c r="S659" s="87"/>
      <c r="T659" s="87"/>
      <c r="U659" s="87"/>
      <c r="V659" s="90" t="str">
        <f t="shared" si="82"/>
        <v>Distrital</v>
      </c>
      <c r="W659" s="87" t="s">
        <v>73</v>
      </c>
      <c r="X659" s="87"/>
      <c r="Y659" s="87"/>
      <c r="Z659" s="87"/>
      <c r="AA659" s="87"/>
      <c r="AB659" s="87"/>
      <c r="AC659" s="90" t="str">
        <f t="shared" si="83"/>
        <v>Distrital</v>
      </c>
      <c r="AD659" s="87" t="s">
        <v>73</v>
      </c>
      <c r="AE659" s="87"/>
      <c r="AF659" s="87"/>
      <c r="AG659" s="87"/>
      <c r="AH659" s="87"/>
      <c r="AI659" s="87"/>
      <c r="AJ659" s="87"/>
      <c r="AK659" s="87"/>
      <c r="AL659" s="87"/>
      <c r="AM659" s="87"/>
      <c r="AN659" s="90" t="s">
        <v>221</v>
      </c>
      <c r="AO659" s="90" t="s">
        <v>3118</v>
      </c>
      <c r="AP659" s="82"/>
      <c r="AQ659" s="87" t="s">
        <v>59</v>
      </c>
      <c r="AR659" s="87" t="s">
        <v>80</v>
      </c>
      <c r="AS659" s="82"/>
      <c r="AT659" s="87">
        <v>100</v>
      </c>
      <c r="AU659" s="87">
        <v>5</v>
      </c>
      <c r="AV659" s="87">
        <f t="shared" si="46"/>
        <v>105</v>
      </c>
      <c r="AW659" s="87" t="str">
        <f t="shared" si="54"/>
        <v>Horarios Acordes</v>
      </c>
      <c r="AX659" s="87" t="s">
        <v>213</v>
      </c>
      <c r="AY659" s="87"/>
      <c r="AZ659" s="87"/>
      <c r="BA659" s="91" t="s">
        <v>3119</v>
      </c>
      <c r="BB659" s="84"/>
      <c r="BC659" s="85"/>
      <c r="BD659" s="85"/>
    </row>
    <row r="660" spans="1:56" s="86" customFormat="1" ht="46.5" customHeight="1">
      <c r="A660" s="78">
        <v>655</v>
      </c>
      <c r="B660" s="79" t="s">
        <v>3120</v>
      </c>
      <c r="C660" s="88">
        <v>45473</v>
      </c>
      <c r="D660" s="89">
        <v>0.41666666666666669</v>
      </c>
      <c r="E660" s="87" t="s">
        <v>562</v>
      </c>
      <c r="F660" s="87" t="s">
        <v>1472</v>
      </c>
      <c r="G660" s="87" t="s">
        <v>62</v>
      </c>
      <c r="H660" s="90" t="s">
        <v>3121</v>
      </c>
      <c r="I660" s="90" t="s">
        <v>64</v>
      </c>
      <c r="J660" s="87" t="s">
        <v>173</v>
      </c>
      <c r="K660" s="87"/>
      <c r="L660" s="90" t="s">
        <v>3122</v>
      </c>
      <c r="M660" s="91" t="s">
        <v>3123</v>
      </c>
      <c r="N660" s="90" t="s">
        <v>3124</v>
      </c>
      <c r="O660" s="90" t="str">
        <f t="shared" si="79"/>
        <v>Distrital</v>
      </c>
      <c r="P660" s="87" t="s">
        <v>73</v>
      </c>
      <c r="Q660" s="87"/>
      <c r="R660" s="87"/>
      <c r="S660" s="87"/>
      <c r="T660" s="87"/>
      <c r="U660" s="87"/>
      <c r="V660" s="90" t="str">
        <f t="shared" si="82"/>
        <v>Centro Ampliado</v>
      </c>
      <c r="W660" s="87" t="s">
        <v>415</v>
      </c>
      <c r="X660" s="87"/>
      <c r="Y660" s="87"/>
      <c r="Z660" s="87"/>
      <c r="AA660" s="87"/>
      <c r="AB660" s="87"/>
      <c r="AC660" s="90" t="str">
        <f t="shared" si="83"/>
        <v>Centro Histórico, Cerros Orientales</v>
      </c>
      <c r="AD660" s="87" t="s">
        <v>488</v>
      </c>
      <c r="AE660" s="87" t="s">
        <v>222</v>
      </c>
      <c r="AF660" s="87"/>
      <c r="AG660" s="87"/>
      <c r="AH660" s="87"/>
      <c r="AI660" s="87"/>
      <c r="AJ660" s="87"/>
      <c r="AK660" s="87"/>
      <c r="AL660" s="87"/>
      <c r="AM660" s="87"/>
      <c r="AN660" s="90" t="s">
        <v>3125</v>
      </c>
      <c r="AO660" s="90" t="s">
        <v>3126</v>
      </c>
      <c r="AP660" s="82"/>
      <c r="AQ660" s="87" t="s">
        <v>59</v>
      </c>
      <c r="AR660" s="87" t="s">
        <v>80</v>
      </c>
      <c r="AS660" s="82"/>
      <c r="AT660" s="87">
        <v>1000</v>
      </c>
      <c r="AU660" s="87">
        <v>9</v>
      </c>
      <c r="AV660" s="87">
        <f t="shared" ref="AV660:AV661" si="92">AT660+AU660</f>
        <v>1009</v>
      </c>
      <c r="AW660" s="87" t="str">
        <f t="shared" si="54"/>
        <v>Ninguna</v>
      </c>
      <c r="AX660" s="87" t="s">
        <v>75</v>
      </c>
      <c r="AY660" s="87"/>
      <c r="AZ660" s="87"/>
      <c r="BA660" s="91" t="s">
        <v>3127</v>
      </c>
      <c r="BB660" s="84"/>
      <c r="BC660" s="85"/>
      <c r="BD660" s="85"/>
    </row>
    <row r="661" spans="1:56" s="86" customFormat="1" ht="46.5" customHeight="1">
      <c r="A661" s="87">
        <v>656</v>
      </c>
      <c r="B661" s="79" t="s">
        <v>3128</v>
      </c>
      <c r="C661" s="88">
        <v>45475</v>
      </c>
      <c r="D661" s="89">
        <v>0.41666666666666669</v>
      </c>
      <c r="E661" s="87" t="s">
        <v>58</v>
      </c>
      <c r="F661" s="87" t="s">
        <v>1437</v>
      </c>
      <c r="G661" s="87" t="s">
        <v>95</v>
      </c>
      <c r="H661" s="90" t="s">
        <v>3129</v>
      </c>
      <c r="I661" s="90" t="s">
        <v>64</v>
      </c>
      <c r="J661" s="87" t="s">
        <v>173</v>
      </c>
      <c r="K661" s="87"/>
      <c r="L661" s="90" t="s">
        <v>72</v>
      </c>
      <c r="M661" s="91" t="s">
        <v>72</v>
      </c>
      <c r="N661" s="90" t="s">
        <v>72</v>
      </c>
      <c r="O661" s="90" t="str">
        <f t="shared" si="79"/>
        <v>Distrital</v>
      </c>
      <c r="P661" s="87" t="s">
        <v>73</v>
      </c>
      <c r="Q661" s="87"/>
      <c r="R661" s="87"/>
      <c r="S661" s="87"/>
      <c r="T661" s="87"/>
      <c r="U661" s="87"/>
      <c r="V661" s="90" t="str">
        <f t="shared" si="82"/>
        <v>Distrital</v>
      </c>
      <c r="W661" s="87" t="s">
        <v>73</v>
      </c>
      <c r="X661" s="87"/>
      <c r="Y661" s="87"/>
      <c r="Z661" s="87"/>
      <c r="AA661" s="87"/>
      <c r="AB661" s="87"/>
      <c r="AC661" s="90" t="str">
        <f t="shared" si="83"/>
        <v>Distrital</v>
      </c>
      <c r="AD661" s="87" t="s">
        <v>73</v>
      </c>
      <c r="AE661" s="87"/>
      <c r="AF661" s="87"/>
      <c r="AG661" s="87"/>
      <c r="AH661" s="87"/>
      <c r="AI661" s="87"/>
      <c r="AJ661" s="87"/>
      <c r="AK661" s="87"/>
      <c r="AL661" s="87"/>
      <c r="AM661" s="87"/>
      <c r="AN661" s="90" t="s">
        <v>160</v>
      </c>
      <c r="AO661" s="90" t="s">
        <v>3130</v>
      </c>
      <c r="AP661" s="82"/>
      <c r="AQ661" s="87" t="s">
        <v>59</v>
      </c>
      <c r="AR661" s="87" t="s">
        <v>80</v>
      </c>
      <c r="AS661" s="82"/>
      <c r="AT661" s="87">
        <v>1</v>
      </c>
      <c r="AU661" s="87">
        <v>4</v>
      </c>
      <c r="AV661" s="87">
        <f t="shared" si="92"/>
        <v>5</v>
      </c>
      <c r="AW661" s="87" t="str">
        <f t="shared" si="54"/>
        <v>Ninguna</v>
      </c>
      <c r="AX661" s="87" t="s">
        <v>75</v>
      </c>
      <c r="AY661" s="87"/>
      <c r="AZ661" s="87"/>
      <c r="BA661" s="91" t="s">
        <v>3131</v>
      </c>
      <c r="BB661" s="84"/>
      <c r="BC661" s="85"/>
      <c r="BD661" s="85"/>
    </row>
    <row r="662" spans="1:56" s="86" customFormat="1" ht="46.5" customHeight="1">
      <c r="A662" s="78">
        <v>657</v>
      </c>
      <c r="B662" s="79" t="s">
        <v>2451</v>
      </c>
      <c r="C662" s="88">
        <v>45475</v>
      </c>
      <c r="D662" s="89">
        <v>0.4375</v>
      </c>
      <c r="E662" s="87" t="s">
        <v>93</v>
      </c>
      <c r="F662" s="87" t="s">
        <v>321</v>
      </c>
      <c r="G662" s="87" t="s">
        <v>62</v>
      </c>
      <c r="H662" s="90" t="s">
        <v>2452</v>
      </c>
      <c r="I662" s="90" t="s">
        <v>64</v>
      </c>
      <c r="J662" s="87" t="s">
        <v>70</v>
      </c>
      <c r="K662" s="87" t="s">
        <v>1810</v>
      </c>
      <c r="L662" s="90" t="s">
        <v>1088</v>
      </c>
      <c r="M662" s="91" t="s">
        <v>3132</v>
      </c>
      <c r="N662" s="90" t="s">
        <v>3133</v>
      </c>
      <c r="O662" s="90" t="str">
        <f t="shared" si="79"/>
        <v>Santa Fe</v>
      </c>
      <c r="P662" s="87" t="s">
        <v>541</v>
      </c>
      <c r="Q662" s="87"/>
      <c r="R662" s="87"/>
      <c r="S662" s="87"/>
      <c r="T662" s="87"/>
      <c r="U662" s="87"/>
      <c r="V662" s="90" t="str">
        <f t="shared" si="82"/>
        <v>Centro Ampliado, Ruralidad</v>
      </c>
      <c r="W662" s="87" t="s">
        <v>415</v>
      </c>
      <c r="X662" s="87" t="s">
        <v>109</v>
      </c>
      <c r="Y662" s="87"/>
      <c r="Z662" s="87"/>
      <c r="AA662" s="87"/>
      <c r="AB662" s="87"/>
      <c r="AC662" s="90" t="str">
        <f t="shared" si="83"/>
        <v>Centro Histórico, Cerros Orientales</v>
      </c>
      <c r="AD662" s="87" t="s">
        <v>488</v>
      </c>
      <c r="AE662" s="87" t="s">
        <v>222</v>
      </c>
      <c r="AF662" s="87"/>
      <c r="AG662" s="87"/>
      <c r="AH662" s="87"/>
      <c r="AI662" s="87"/>
      <c r="AJ662" s="87"/>
      <c r="AK662" s="87"/>
      <c r="AL662" s="87"/>
      <c r="AM662" s="87"/>
      <c r="AN662" s="90" t="s">
        <v>160</v>
      </c>
      <c r="AO662" s="90" t="s">
        <v>3134</v>
      </c>
      <c r="AP662" s="82"/>
      <c r="AQ662" s="87" t="s">
        <v>59</v>
      </c>
      <c r="AR662" s="87" t="s">
        <v>80</v>
      </c>
      <c r="AS662" s="82"/>
      <c r="AT662" s="87">
        <v>20</v>
      </c>
      <c r="AU662" s="87">
        <v>1</v>
      </c>
      <c r="AV662" s="87">
        <f t="shared" ref="AV662" si="93">AT662+AU662</f>
        <v>21</v>
      </c>
      <c r="AW662" s="87" t="str">
        <f t="shared" si="54"/>
        <v>Ninguna</v>
      </c>
      <c r="AX662" s="87" t="s">
        <v>75</v>
      </c>
      <c r="AY662" s="87"/>
      <c r="AZ662" s="87"/>
      <c r="BA662" s="91" t="s">
        <v>3135</v>
      </c>
      <c r="BB662" s="84"/>
      <c r="BC662" s="85"/>
      <c r="BD662" s="85"/>
    </row>
    <row r="663" spans="1:56" s="86" customFormat="1" ht="46.5" customHeight="1">
      <c r="A663" s="87">
        <v>658</v>
      </c>
      <c r="B663" s="79" t="s">
        <v>3136</v>
      </c>
      <c r="C663" s="88">
        <v>45475</v>
      </c>
      <c r="D663" s="89">
        <v>0.58333333333333337</v>
      </c>
      <c r="E663" s="87" t="s">
        <v>58</v>
      </c>
      <c r="F663" s="87" t="s">
        <v>2680</v>
      </c>
      <c r="G663" s="87" t="s">
        <v>62</v>
      </c>
      <c r="H663" s="90" t="s">
        <v>2709</v>
      </c>
      <c r="I663" s="90" t="s">
        <v>128</v>
      </c>
      <c r="J663" s="87" t="s">
        <v>119</v>
      </c>
      <c r="K663" s="87" t="s">
        <v>1369</v>
      </c>
      <c r="L663" s="90" t="s">
        <v>3137</v>
      </c>
      <c r="M663" s="91" t="s">
        <v>3138</v>
      </c>
      <c r="N663" s="90" t="s">
        <v>3139</v>
      </c>
      <c r="O663" s="90" t="str">
        <f t="shared" si="79"/>
        <v>Usme</v>
      </c>
      <c r="P663" s="87" t="s">
        <v>670</v>
      </c>
      <c r="Q663" s="87"/>
      <c r="R663" s="87"/>
      <c r="S663" s="87"/>
      <c r="T663" s="87"/>
      <c r="U663" s="87"/>
      <c r="V663" s="90" t="str">
        <f t="shared" si="82"/>
        <v>Ruralidad</v>
      </c>
      <c r="W663" s="87" t="s">
        <v>109</v>
      </c>
      <c r="X663" s="87"/>
      <c r="Y663" s="87"/>
      <c r="Z663" s="87"/>
      <c r="AA663" s="87"/>
      <c r="AB663" s="87"/>
      <c r="AC663" s="90" t="str">
        <f t="shared" si="83"/>
        <v>Usme Entrenubes, Rafael Uribe, Cerros Orientales, Cuenca del Tunjuelo</v>
      </c>
      <c r="AD663" s="87" t="s">
        <v>671</v>
      </c>
      <c r="AE663" s="87" t="s">
        <v>467</v>
      </c>
      <c r="AF663" s="87" t="s">
        <v>222</v>
      </c>
      <c r="AG663" s="87" t="s">
        <v>112</v>
      </c>
      <c r="AH663" s="87"/>
      <c r="AI663" s="87"/>
      <c r="AJ663" s="87"/>
      <c r="AK663" s="87"/>
      <c r="AL663" s="87"/>
      <c r="AM663" s="87"/>
      <c r="AN663" s="90" t="s">
        <v>3140</v>
      </c>
      <c r="AO663" s="90" t="s">
        <v>3141</v>
      </c>
      <c r="AP663" s="82"/>
      <c r="AQ663" s="87" t="s">
        <v>59</v>
      </c>
      <c r="AR663" s="87" t="s">
        <v>80</v>
      </c>
      <c r="AS663" s="82"/>
      <c r="AT663" s="87">
        <v>9</v>
      </c>
      <c r="AU663" s="87">
        <v>2</v>
      </c>
      <c r="AV663" s="87">
        <f>AT663+AU663</f>
        <v>11</v>
      </c>
      <c r="AW663" s="87" t="str">
        <f>_xlfn.TEXTJOIN(", ",TRUE,$AX663:$AZ663)</f>
        <v>Contenidos adaptados</v>
      </c>
      <c r="AX663" s="87" t="s">
        <v>212</v>
      </c>
      <c r="AY663" s="87"/>
      <c r="AZ663" s="87"/>
      <c r="BA663" s="91" t="s">
        <v>3142</v>
      </c>
      <c r="BB663" s="84"/>
      <c r="BC663" s="85"/>
      <c r="BD663" s="85"/>
    </row>
    <row r="664" spans="1:56" s="86" customFormat="1" ht="46.5" customHeight="1">
      <c r="A664" s="78">
        <v>659</v>
      </c>
      <c r="B664" s="79" t="s">
        <v>3143</v>
      </c>
      <c r="C664" s="88">
        <v>45475</v>
      </c>
      <c r="D664" s="89">
        <v>0.58333333333333337</v>
      </c>
      <c r="E664" s="87" t="s">
        <v>93</v>
      </c>
      <c r="F664" s="87" t="s">
        <v>321</v>
      </c>
      <c r="G664" s="87" t="s">
        <v>62</v>
      </c>
      <c r="H664" s="90" t="s">
        <v>1960</v>
      </c>
      <c r="I664" s="90" t="s">
        <v>64</v>
      </c>
      <c r="J664" s="87" t="s">
        <v>173</v>
      </c>
      <c r="K664" s="87"/>
      <c r="L664" s="90" t="s">
        <v>2946</v>
      </c>
      <c r="M664" s="91" t="s">
        <v>2947</v>
      </c>
      <c r="N664" s="90" t="s">
        <v>72</v>
      </c>
      <c r="O664" s="90" t="str">
        <f t="shared" si="79"/>
        <v>Fontibón</v>
      </c>
      <c r="P664" s="87" t="s">
        <v>420</v>
      </c>
      <c r="Q664" s="87"/>
      <c r="R664" s="87"/>
      <c r="S664" s="87"/>
      <c r="T664" s="87"/>
      <c r="U664" s="87"/>
      <c r="V664" s="90" t="str">
        <f t="shared" si="82"/>
        <v>Occidente</v>
      </c>
      <c r="W664" s="87" t="s">
        <v>124</v>
      </c>
      <c r="X664" s="87"/>
      <c r="Y664" s="87"/>
      <c r="Z664" s="87"/>
      <c r="AA664" s="87"/>
      <c r="AB664" s="87"/>
      <c r="AC664" s="90" t="str">
        <f t="shared" si="83"/>
        <v>Fontibón, Salitre</v>
      </c>
      <c r="AD664" s="87" t="s">
        <v>420</v>
      </c>
      <c r="AE664" s="87" t="s">
        <v>258</v>
      </c>
      <c r="AF664" s="87"/>
      <c r="AG664" s="87"/>
      <c r="AH664" s="87"/>
      <c r="AI664" s="87"/>
      <c r="AJ664" s="87"/>
      <c r="AK664" s="87"/>
      <c r="AL664" s="87"/>
      <c r="AM664" s="87"/>
      <c r="AN664" s="90" t="s">
        <v>2948</v>
      </c>
      <c r="AO664" s="90" t="s">
        <v>2949</v>
      </c>
      <c r="AP664" s="82"/>
      <c r="AQ664" s="87" t="s">
        <v>59</v>
      </c>
      <c r="AR664" s="87" t="s">
        <v>80</v>
      </c>
      <c r="AS664" s="82"/>
      <c r="AT664" s="87">
        <v>18</v>
      </c>
      <c r="AU664" s="87">
        <v>1</v>
      </c>
      <c r="AV664" s="87">
        <f t="shared" ref="AV664:AV675" si="94">AT664+AU664</f>
        <v>19</v>
      </c>
      <c r="AW664" s="87" t="str">
        <f t="shared" si="54"/>
        <v>Ninguna</v>
      </c>
      <c r="AX664" s="87" t="s">
        <v>75</v>
      </c>
      <c r="AY664" s="87"/>
      <c r="AZ664" s="87"/>
      <c r="BA664" s="91" t="s">
        <v>3144</v>
      </c>
      <c r="BB664" s="84"/>
      <c r="BC664" s="85"/>
      <c r="BD664" s="85"/>
    </row>
    <row r="665" spans="1:56" s="86" customFormat="1" ht="46.5" customHeight="1">
      <c r="A665" s="87">
        <v>660</v>
      </c>
      <c r="B665" s="79" t="s">
        <v>1397</v>
      </c>
      <c r="C665" s="88">
        <v>45475</v>
      </c>
      <c r="D665" s="89">
        <v>0.70833333333333337</v>
      </c>
      <c r="E665" s="87" t="s">
        <v>93</v>
      </c>
      <c r="F665" s="87" t="s">
        <v>102</v>
      </c>
      <c r="G665" s="87" t="s">
        <v>95</v>
      </c>
      <c r="H665" s="90" t="s">
        <v>3145</v>
      </c>
      <c r="I665" s="90" t="s">
        <v>118</v>
      </c>
      <c r="J665" s="87" t="s">
        <v>119</v>
      </c>
      <c r="K665" s="87" t="s">
        <v>129</v>
      </c>
      <c r="L665" s="90" t="s">
        <v>3146</v>
      </c>
      <c r="M665" s="91" t="s">
        <v>3012</v>
      </c>
      <c r="N665" s="90" t="s">
        <v>439</v>
      </c>
      <c r="O665" s="90" t="str">
        <f>_xlfn.TEXTJOIN(", ",TRUE,$P665:$T665)</f>
        <v>Distrital</v>
      </c>
      <c r="P665" s="87" t="s">
        <v>73</v>
      </c>
      <c r="Q665" s="87"/>
      <c r="R665" s="87"/>
      <c r="S665" s="87"/>
      <c r="T665" s="87"/>
      <c r="U665" s="87"/>
      <c r="V665" s="90" t="str">
        <f>_xlfn.TEXTJOIN(", ",TRUE,$W665:$AB665)</f>
        <v>Distrital</v>
      </c>
      <c r="W665" s="87" t="s">
        <v>73</v>
      </c>
      <c r="X665" s="87"/>
      <c r="Y665" s="87"/>
      <c r="Z665" s="87"/>
      <c r="AA665" s="87"/>
      <c r="AB665" s="87"/>
      <c r="AC665" s="90" t="str">
        <f>_xlfn.TEXTJOIN(", ",TRUE,$AD665:$AM665)</f>
        <v>Distrital</v>
      </c>
      <c r="AD665" s="87" t="s">
        <v>73</v>
      </c>
      <c r="AE665" s="87"/>
      <c r="AF665" s="87"/>
      <c r="AG665" s="87"/>
      <c r="AH665" s="87"/>
      <c r="AI665" s="87"/>
      <c r="AJ665" s="87"/>
      <c r="AK665" s="87"/>
      <c r="AL665" s="87"/>
      <c r="AM665" s="87"/>
      <c r="AN665" s="90" t="s">
        <v>160</v>
      </c>
      <c r="AO665" s="102" t="s">
        <v>2638</v>
      </c>
      <c r="AP665" s="82"/>
      <c r="AQ665" s="87" t="s">
        <v>59</v>
      </c>
      <c r="AR665" s="87" t="s">
        <v>80</v>
      </c>
      <c r="AS665" s="82"/>
      <c r="AT665" s="87">
        <v>29</v>
      </c>
      <c r="AU665" s="87">
        <v>1</v>
      </c>
      <c r="AV665" s="87">
        <f t="shared" ref="AV665:AV674" si="95">AT665+AU665</f>
        <v>30</v>
      </c>
      <c r="AW665" s="87" t="str">
        <f>_xlfn.TEXTJOIN(", ",TRUE,$AX665:$AZ665)</f>
        <v>Ninguna</v>
      </c>
      <c r="AX665" s="87" t="s">
        <v>75</v>
      </c>
      <c r="AY665" s="87"/>
      <c r="AZ665" s="87"/>
      <c r="BA665" s="91" t="s">
        <v>3147</v>
      </c>
      <c r="BB665" s="84"/>
      <c r="BC665" s="85"/>
      <c r="BD665" s="85"/>
    </row>
    <row r="666" spans="1:56" s="86" customFormat="1" ht="46.5" customHeight="1">
      <c r="A666" s="78">
        <v>661</v>
      </c>
      <c r="B666" s="79" t="s">
        <v>3148</v>
      </c>
      <c r="C666" s="88">
        <v>45475</v>
      </c>
      <c r="D666" s="89">
        <v>0.66666666666666663</v>
      </c>
      <c r="E666" s="87" t="s">
        <v>58</v>
      </c>
      <c r="F666" s="87" t="s">
        <v>2680</v>
      </c>
      <c r="G666" s="87" t="s">
        <v>62</v>
      </c>
      <c r="H666" s="90" t="s">
        <v>2940</v>
      </c>
      <c r="I666" s="90" t="s">
        <v>128</v>
      </c>
      <c r="J666" s="87" t="s">
        <v>119</v>
      </c>
      <c r="K666" s="87" t="s">
        <v>217</v>
      </c>
      <c r="L666" s="90" t="s">
        <v>3149</v>
      </c>
      <c r="M666" s="91" t="s">
        <v>3150</v>
      </c>
      <c r="N666" s="90" t="s">
        <v>72</v>
      </c>
      <c r="O666" s="90" t="str">
        <f t="shared" ref="O666:O674" si="96">_xlfn.TEXTJOIN(", ",TRUE,$P666:$T666)</f>
        <v>San Cristóbal</v>
      </c>
      <c r="P666" s="87" t="s">
        <v>370</v>
      </c>
      <c r="Q666" s="87"/>
      <c r="R666" s="87"/>
      <c r="S666" s="87"/>
      <c r="T666" s="87"/>
      <c r="U666" s="87"/>
      <c r="V666" s="90" t="str">
        <f t="shared" ref="V666:V674" si="97">_xlfn.TEXTJOIN(", ",TRUE,$W666:$AB666)</f>
        <v>Suroriente</v>
      </c>
      <c r="W666" s="87" t="s">
        <v>108</v>
      </c>
      <c r="X666" s="87"/>
      <c r="Y666" s="87"/>
      <c r="Z666" s="87"/>
      <c r="AA666" s="87"/>
      <c r="AB666" s="87"/>
      <c r="AC666" s="90" t="str">
        <f t="shared" si="83"/>
        <v>San Cristobal, Cerros Orientales</v>
      </c>
      <c r="AD666" s="87" t="s">
        <v>371</v>
      </c>
      <c r="AE666" s="87" t="s">
        <v>222</v>
      </c>
      <c r="AF666" s="87"/>
      <c r="AG666" s="87"/>
      <c r="AH666" s="87"/>
      <c r="AI666" s="87"/>
      <c r="AJ666" s="87"/>
      <c r="AK666" s="87"/>
      <c r="AL666" s="87"/>
      <c r="AM666" s="87"/>
      <c r="AN666" s="90" t="s">
        <v>160</v>
      </c>
      <c r="AO666" s="90" t="s">
        <v>3151</v>
      </c>
      <c r="AP666" s="82"/>
      <c r="AQ666" s="87" t="s">
        <v>59</v>
      </c>
      <c r="AR666" s="87" t="s">
        <v>80</v>
      </c>
      <c r="AS666" s="82"/>
      <c r="AT666" s="87">
        <v>10</v>
      </c>
      <c r="AU666" s="87">
        <v>1</v>
      </c>
      <c r="AV666" s="87">
        <f t="shared" si="95"/>
        <v>11</v>
      </c>
      <c r="AW666" s="87" t="str">
        <f t="shared" si="54"/>
        <v>Ninguna</v>
      </c>
      <c r="AX666" s="87" t="s">
        <v>75</v>
      </c>
      <c r="AY666" s="87"/>
      <c r="AZ666" s="87"/>
      <c r="BA666" s="91" t="s">
        <v>3152</v>
      </c>
      <c r="BB666" s="84"/>
      <c r="BC666" s="85"/>
      <c r="BD666" s="85"/>
    </row>
    <row r="667" spans="1:56" s="86" customFormat="1" ht="46.5" customHeight="1">
      <c r="A667" s="87">
        <v>662</v>
      </c>
      <c r="B667" s="79" t="s">
        <v>3153</v>
      </c>
      <c r="C667" s="88">
        <v>45476</v>
      </c>
      <c r="D667" s="89">
        <v>0.29166666666666669</v>
      </c>
      <c r="E667" s="87" t="s">
        <v>58</v>
      </c>
      <c r="F667" s="87" t="s">
        <v>135</v>
      </c>
      <c r="G667" s="87" t="s">
        <v>95</v>
      </c>
      <c r="H667" s="90" t="s">
        <v>3154</v>
      </c>
      <c r="I667" s="90" t="s">
        <v>64</v>
      </c>
      <c r="J667" s="87" t="s">
        <v>70</v>
      </c>
      <c r="K667" s="87" t="s">
        <v>71</v>
      </c>
      <c r="L667" s="90" t="s">
        <v>3042</v>
      </c>
      <c r="M667" s="90" t="s">
        <v>3042</v>
      </c>
      <c r="N667" s="90" t="s">
        <v>3042</v>
      </c>
      <c r="O667" s="90" t="str">
        <f t="shared" si="96"/>
        <v>Sumapaz</v>
      </c>
      <c r="P667" s="87" t="s">
        <v>327</v>
      </c>
      <c r="Q667" s="87"/>
      <c r="R667" s="87"/>
      <c r="S667" s="87"/>
      <c r="T667" s="87"/>
      <c r="U667" s="87"/>
      <c r="V667" s="90" t="str">
        <f t="shared" si="97"/>
        <v>Ruralidad</v>
      </c>
      <c r="W667" s="87" t="s">
        <v>109</v>
      </c>
      <c r="X667" s="87"/>
      <c r="Y667" s="87"/>
      <c r="Z667" s="87"/>
      <c r="AA667" s="87"/>
      <c r="AB667" s="87"/>
      <c r="AC667" s="90" t="str">
        <f t="shared" si="83"/>
        <v>Sumapaz</v>
      </c>
      <c r="AD667" s="87" t="s">
        <v>327</v>
      </c>
      <c r="AE667" s="87"/>
      <c r="AF667" s="87"/>
      <c r="AG667" s="87"/>
      <c r="AH667" s="87"/>
      <c r="AI667" s="87"/>
      <c r="AJ667" s="87"/>
      <c r="AK667" s="87"/>
      <c r="AL667" s="87"/>
      <c r="AM667" s="87"/>
      <c r="AN667" s="90" t="s">
        <v>160</v>
      </c>
      <c r="AO667" s="102" t="s">
        <v>2638</v>
      </c>
      <c r="AP667" s="82"/>
      <c r="AQ667" s="87" t="s">
        <v>59</v>
      </c>
      <c r="AR667" s="87" t="s">
        <v>80</v>
      </c>
      <c r="AS667" s="82"/>
      <c r="AT667" s="87">
        <v>0</v>
      </c>
      <c r="AU667" s="87">
        <v>19</v>
      </c>
      <c r="AV667" s="87">
        <f t="shared" si="95"/>
        <v>19</v>
      </c>
      <c r="AW667" s="87" t="str">
        <f t="shared" si="54"/>
        <v>Horarios Acordes</v>
      </c>
      <c r="AX667" s="87" t="s">
        <v>213</v>
      </c>
      <c r="AY667" s="87"/>
      <c r="AZ667" s="87"/>
      <c r="BA667" s="91" t="s">
        <v>3155</v>
      </c>
      <c r="BB667" s="84"/>
      <c r="BC667" s="85"/>
      <c r="BD667" s="85"/>
    </row>
    <row r="668" spans="1:56" s="86" customFormat="1" ht="46.5" customHeight="1">
      <c r="A668" s="78">
        <v>663</v>
      </c>
      <c r="B668" s="79" t="s">
        <v>743</v>
      </c>
      <c r="C668" s="88">
        <v>45476</v>
      </c>
      <c r="D668" s="89" t="s">
        <v>3156</v>
      </c>
      <c r="E668" s="87" t="s">
        <v>93</v>
      </c>
      <c r="F668" s="87" t="s">
        <v>743</v>
      </c>
      <c r="G668" s="87" t="s">
        <v>62</v>
      </c>
      <c r="H668" s="90" t="s">
        <v>3157</v>
      </c>
      <c r="I668" s="90" t="s">
        <v>64</v>
      </c>
      <c r="J668" s="87" t="s">
        <v>70</v>
      </c>
      <c r="K668" s="87" t="s">
        <v>71</v>
      </c>
      <c r="L668" s="90" t="s">
        <v>3042</v>
      </c>
      <c r="M668" s="90" t="s">
        <v>3042</v>
      </c>
      <c r="N668" s="90" t="s">
        <v>3042</v>
      </c>
      <c r="O668" s="90" t="str">
        <f t="shared" si="96"/>
        <v>Distrital</v>
      </c>
      <c r="P668" s="87" t="s">
        <v>73</v>
      </c>
      <c r="Q668" s="87"/>
      <c r="R668" s="87"/>
      <c r="S668" s="87"/>
      <c r="T668" s="87"/>
      <c r="U668" s="87"/>
      <c r="V668" s="90" t="str">
        <f t="shared" si="97"/>
        <v>Distrital</v>
      </c>
      <c r="W668" s="87" t="s">
        <v>73</v>
      </c>
      <c r="X668" s="87"/>
      <c r="Y668" s="87"/>
      <c r="Z668" s="87"/>
      <c r="AA668" s="87"/>
      <c r="AB668" s="87"/>
      <c r="AC668" s="90" t="str">
        <f t="shared" si="83"/>
        <v>Distrital</v>
      </c>
      <c r="AD668" s="87" t="s">
        <v>73</v>
      </c>
      <c r="AE668" s="87"/>
      <c r="AF668" s="87"/>
      <c r="AG668" s="87"/>
      <c r="AH668" s="87"/>
      <c r="AI668" s="87"/>
      <c r="AJ668" s="87"/>
      <c r="AK668" s="87"/>
      <c r="AL668" s="87"/>
      <c r="AM668" s="87"/>
      <c r="AN668" s="90" t="s">
        <v>487</v>
      </c>
      <c r="AO668" s="90" t="s">
        <v>189</v>
      </c>
      <c r="AP668" s="82"/>
      <c r="AQ668" s="87" t="s">
        <v>59</v>
      </c>
      <c r="AR668" s="87" t="s">
        <v>80</v>
      </c>
      <c r="AS668" s="82"/>
      <c r="AT668" s="87">
        <v>0</v>
      </c>
      <c r="AU668" s="87">
        <v>2</v>
      </c>
      <c r="AV668" s="87">
        <f t="shared" si="95"/>
        <v>2</v>
      </c>
      <c r="AW668" s="87" t="str">
        <f t="shared" si="54"/>
        <v>Ninguna</v>
      </c>
      <c r="AX668" s="87" t="s">
        <v>75</v>
      </c>
      <c r="AY668" s="87"/>
      <c r="AZ668" s="87"/>
      <c r="BA668" s="91" t="s">
        <v>3158</v>
      </c>
      <c r="BB668" s="84"/>
      <c r="BC668" s="85"/>
      <c r="BD668" s="85"/>
    </row>
    <row r="669" spans="1:56" s="86" customFormat="1" ht="46.5" customHeight="1">
      <c r="A669" s="87">
        <v>664</v>
      </c>
      <c r="B669" s="79" t="s">
        <v>320</v>
      </c>
      <c r="C669" s="88">
        <v>45476</v>
      </c>
      <c r="D669" s="89">
        <v>0.375</v>
      </c>
      <c r="E669" s="87" t="s">
        <v>93</v>
      </c>
      <c r="F669" s="87" t="s">
        <v>321</v>
      </c>
      <c r="G669" s="87" t="s">
        <v>95</v>
      </c>
      <c r="H669" s="90" t="s">
        <v>3159</v>
      </c>
      <c r="I669" s="90" t="s">
        <v>118</v>
      </c>
      <c r="J669" s="87" t="s">
        <v>70</v>
      </c>
      <c r="K669" s="87" t="s">
        <v>1810</v>
      </c>
      <c r="L669" s="90" t="s">
        <v>3160</v>
      </c>
      <c r="M669" s="91" t="s">
        <v>3161</v>
      </c>
      <c r="N669" s="90" t="s">
        <v>1317</v>
      </c>
      <c r="O669" s="90" t="str">
        <f t="shared" si="96"/>
        <v>Sumapaz</v>
      </c>
      <c r="P669" s="87" t="s">
        <v>327</v>
      </c>
      <c r="Q669" s="87"/>
      <c r="R669" s="87"/>
      <c r="S669" s="87"/>
      <c r="T669" s="87"/>
      <c r="U669" s="87"/>
      <c r="V669" s="90" t="str">
        <f t="shared" si="97"/>
        <v>Ruralidad</v>
      </c>
      <c r="W669" s="87" t="s">
        <v>109</v>
      </c>
      <c r="X669" s="87"/>
      <c r="Y669" s="87"/>
      <c r="Z669" s="87"/>
      <c r="AA669" s="87"/>
      <c r="AB669" s="87"/>
      <c r="AC669" s="90" t="str">
        <f t="shared" si="83"/>
        <v>Sumapaz</v>
      </c>
      <c r="AD669" s="87" t="s">
        <v>327</v>
      </c>
      <c r="AE669" s="87"/>
      <c r="AF669" s="87"/>
      <c r="AG669" s="87"/>
      <c r="AH669" s="87"/>
      <c r="AI669" s="87"/>
      <c r="AJ669" s="87"/>
      <c r="AK669" s="87"/>
      <c r="AL669" s="87"/>
      <c r="AM669" s="87"/>
      <c r="AN669" s="90" t="s">
        <v>160</v>
      </c>
      <c r="AO669" s="102" t="s">
        <v>2638</v>
      </c>
      <c r="AP669" s="82"/>
      <c r="AQ669" s="87" t="s">
        <v>59</v>
      </c>
      <c r="AR669" s="87" t="s">
        <v>80</v>
      </c>
      <c r="AS669" s="82"/>
      <c r="AT669" s="87">
        <v>27</v>
      </c>
      <c r="AU669" s="87">
        <v>1</v>
      </c>
      <c r="AV669" s="87">
        <f t="shared" si="95"/>
        <v>28</v>
      </c>
      <c r="AW669" s="87" t="str">
        <f t="shared" si="54"/>
        <v>Ninguna</v>
      </c>
      <c r="AX669" s="87" t="s">
        <v>75</v>
      </c>
      <c r="AY669" s="87"/>
      <c r="AZ669" s="87"/>
      <c r="BA669" s="91" t="s">
        <v>3162</v>
      </c>
      <c r="BB669" s="84"/>
      <c r="BC669" s="85"/>
      <c r="BD669" s="85"/>
    </row>
    <row r="670" spans="1:56" s="86" customFormat="1" ht="46.5" customHeight="1">
      <c r="A670" s="78">
        <v>665</v>
      </c>
      <c r="B670" s="79" t="s">
        <v>3163</v>
      </c>
      <c r="C670" s="88">
        <v>45476</v>
      </c>
      <c r="D670" s="89">
        <v>0.41666666666666669</v>
      </c>
      <c r="E670" s="87" t="s">
        <v>58</v>
      </c>
      <c r="F670" s="87" t="s">
        <v>135</v>
      </c>
      <c r="G670" s="87" t="s">
        <v>62</v>
      </c>
      <c r="H670" s="90" t="s">
        <v>3164</v>
      </c>
      <c r="I670" s="90" t="s">
        <v>64</v>
      </c>
      <c r="J670" s="87" t="s">
        <v>70</v>
      </c>
      <c r="K670" s="87" t="s">
        <v>71</v>
      </c>
      <c r="L670" s="90" t="s">
        <v>3042</v>
      </c>
      <c r="M670" s="91" t="s">
        <v>3042</v>
      </c>
      <c r="N670" s="90" t="s">
        <v>3042</v>
      </c>
      <c r="O670" s="90" t="str">
        <f>_xlfn.TEXTJOIN(", ",TRUE,$P670:$T670)</f>
        <v>Distrital</v>
      </c>
      <c r="P670" s="87" t="s">
        <v>73</v>
      </c>
      <c r="Q670" s="87"/>
      <c r="R670" s="87"/>
      <c r="S670" s="87"/>
      <c r="T670" s="87"/>
      <c r="U670" s="87"/>
      <c r="V670" s="90" t="str">
        <f>_xlfn.TEXTJOIN(", ",TRUE,$W670:$AB670)</f>
        <v>Distrital</v>
      </c>
      <c r="W670" s="87" t="s">
        <v>73</v>
      </c>
      <c r="X670" s="87"/>
      <c r="Y670" s="87"/>
      <c r="Z670" s="87"/>
      <c r="AA670" s="87"/>
      <c r="AB670" s="87"/>
      <c r="AC670" s="90" t="str">
        <f>_xlfn.TEXTJOIN(", ",TRUE,$AD670:$AM670)</f>
        <v>Distrital</v>
      </c>
      <c r="AD670" s="87" t="s">
        <v>73</v>
      </c>
      <c r="AE670" s="87"/>
      <c r="AF670" s="87"/>
      <c r="AG670" s="87"/>
      <c r="AH670" s="87"/>
      <c r="AI670" s="87"/>
      <c r="AJ670" s="87"/>
      <c r="AK670" s="87"/>
      <c r="AL670" s="87"/>
      <c r="AM670" s="87"/>
      <c r="AN670" s="90" t="s">
        <v>160</v>
      </c>
      <c r="AO670" s="90" t="s">
        <v>3165</v>
      </c>
      <c r="AP670" s="82"/>
      <c r="AQ670" s="87" t="s">
        <v>59</v>
      </c>
      <c r="AR670" s="87" t="s">
        <v>80</v>
      </c>
      <c r="AS670" s="82"/>
      <c r="AT670" s="87">
        <v>0</v>
      </c>
      <c r="AU670" s="87">
        <v>20</v>
      </c>
      <c r="AV670" s="87">
        <f>AT670+AU670</f>
        <v>20</v>
      </c>
      <c r="AW670" s="87" t="str">
        <f>_xlfn.TEXTJOIN(", ",TRUE,$AX670:$AZ670)</f>
        <v>Ninguna</v>
      </c>
      <c r="AX670" s="87" t="s">
        <v>75</v>
      </c>
      <c r="AY670" s="87"/>
      <c r="AZ670" s="87"/>
      <c r="BA670" s="91" t="s">
        <v>3166</v>
      </c>
      <c r="BB670" s="84"/>
      <c r="BC670" s="85"/>
      <c r="BD670" s="85"/>
    </row>
    <row r="671" spans="1:56" s="86" customFormat="1" ht="46.5" customHeight="1">
      <c r="A671" s="87">
        <v>666</v>
      </c>
      <c r="B671" s="79" t="s">
        <v>463</v>
      </c>
      <c r="C671" s="88">
        <v>45476</v>
      </c>
      <c r="D671" s="89">
        <v>0.58333333333333337</v>
      </c>
      <c r="E671" s="87" t="s">
        <v>93</v>
      </c>
      <c r="F671" s="87" t="s">
        <v>321</v>
      </c>
      <c r="G671" s="87" t="s">
        <v>62</v>
      </c>
      <c r="H671" s="90" t="s">
        <v>3167</v>
      </c>
      <c r="I671" s="90" t="s">
        <v>118</v>
      </c>
      <c r="J671" s="87" t="s">
        <v>70</v>
      </c>
      <c r="K671" s="87" t="s">
        <v>1810</v>
      </c>
      <c r="L671" s="90" t="s">
        <v>3168</v>
      </c>
      <c r="M671" s="91" t="s">
        <v>658</v>
      </c>
      <c r="N671" s="90" t="s">
        <v>1981</v>
      </c>
      <c r="O671" s="90" t="str">
        <f t="shared" si="96"/>
        <v>Rafael Uribe Uribe</v>
      </c>
      <c r="P671" s="87" t="s">
        <v>414</v>
      </c>
      <c r="Q671" s="87"/>
      <c r="R671" s="87"/>
      <c r="S671" s="87"/>
      <c r="T671" s="87"/>
      <c r="U671" s="87"/>
      <c r="V671" s="90" t="str">
        <f t="shared" si="97"/>
        <v>Suroriente, Centro Ampliado</v>
      </c>
      <c r="W671" s="87" t="s">
        <v>108</v>
      </c>
      <c r="X671" s="87" t="s">
        <v>415</v>
      </c>
      <c r="Y671" s="87"/>
      <c r="Z671" s="87"/>
      <c r="AA671" s="87"/>
      <c r="AB671" s="87"/>
      <c r="AC671" s="90" t="str">
        <f t="shared" si="83"/>
        <v>Restrepo, Rafael Uribe, San Cristobal</v>
      </c>
      <c r="AD671" s="87" t="s">
        <v>416</v>
      </c>
      <c r="AE671" s="87" t="s">
        <v>467</v>
      </c>
      <c r="AF671" s="87" t="s">
        <v>371</v>
      </c>
      <c r="AG671" s="87"/>
      <c r="AH671" s="87"/>
      <c r="AI671" s="87"/>
      <c r="AJ671" s="87"/>
      <c r="AK671" s="87"/>
      <c r="AL671" s="87"/>
      <c r="AM671" s="87"/>
      <c r="AN671" s="90" t="s">
        <v>1364</v>
      </c>
      <c r="AO671" s="90" t="s">
        <v>3169</v>
      </c>
      <c r="AP671" s="82"/>
      <c r="AQ671" s="87" t="s">
        <v>59</v>
      </c>
      <c r="AR671" s="87" t="s">
        <v>80</v>
      </c>
      <c r="AS671" s="82"/>
      <c r="AT671" s="87">
        <v>19</v>
      </c>
      <c r="AU671" s="87">
        <v>1</v>
      </c>
      <c r="AV671" s="87">
        <f t="shared" si="95"/>
        <v>20</v>
      </c>
      <c r="AW671" s="87" t="str">
        <f t="shared" si="54"/>
        <v>Ninguna</v>
      </c>
      <c r="AX671" s="87" t="s">
        <v>75</v>
      </c>
      <c r="AY671" s="87"/>
      <c r="AZ671" s="87"/>
      <c r="BA671" s="91" t="s">
        <v>3170</v>
      </c>
      <c r="BB671" s="84"/>
      <c r="BC671" s="85"/>
      <c r="BD671" s="85"/>
    </row>
    <row r="672" spans="1:56" s="86" customFormat="1" ht="46.5" customHeight="1">
      <c r="A672" s="78">
        <v>667</v>
      </c>
      <c r="B672" s="79" t="s">
        <v>3171</v>
      </c>
      <c r="C672" s="88">
        <v>45476</v>
      </c>
      <c r="D672" s="89">
        <v>0.625</v>
      </c>
      <c r="E672" s="87" t="s">
        <v>58</v>
      </c>
      <c r="F672" s="87" t="s">
        <v>2680</v>
      </c>
      <c r="G672" s="87" t="s">
        <v>62</v>
      </c>
      <c r="H672" s="90" t="s">
        <v>3172</v>
      </c>
      <c r="I672" s="90" t="s">
        <v>128</v>
      </c>
      <c r="J672" s="87" t="s">
        <v>119</v>
      </c>
      <c r="K672" s="87" t="s">
        <v>120</v>
      </c>
      <c r="L672" s="90" t="s">
        <v>3173</v>
      </c>
      <c r="M672" s="91" t="s">
        <v>3174</v>
      </c>
      <c r="N672" s="90" t="s">
        <v>1317</v>
      </c>
      <c r="O672" s="90" t="str">
        <f t="shared" si="96"/>
        <v>Usaquén</v>
      </c>
      <c r="P672" s="87" t="s">
        <v>428</v>
      </c>
      <c r="Q672" s="87"/>
      <c r="R672" s="87"/>
      <c r="S672" s="87"/>
      <c r="T672" s="87"/>
      <c r="U672" s="87"/>
      <c r="V672" s="90" t="str">
        <f t="shared" si="97"/>
        <v>Norte</v>
      </c>
      <c r="W672" s="87" t="s">
        <v>429</v>
      </c>
      <c r="X672" s="87"/>
      <c r="Y672" s="87"/>
      <c r="Z672" s="87"/>
      <c r="AA672" s="87"/>
      <c r="AB672" s="87"/>
      <c r="AC672" s="90" t="str">
        <f t="shared" si="83"/>
        <v>Usaquén, Toberín, Torca, Cerros Orientales</v>
      </c>
      <c r="AD672" s="87" t="s">
        <v>428</v>
      </c>
      <c r="AE672" s="87" t="s">
        <v>527</v>
      </c>
      <c r="AF672" s="87" t="s">
        <v>528</v>
      </c>
      <c r="AG672" s="87" t="s">
        <v>222</v>
      </c>
      <c r="AH672" s="87"/>
      <c r="AI672" s="87"/>
      <c r="AJ672" s="87"/>
      <c r="AK672" s="87"/>
      <c r="AL672" s="87"/>
      <c r="AM672" s="87"/>
      <c r="AN672" s="90" t="s">
        <v>160</v>
      </c>
      <c r="AO672" s="90" t="s">
        <v>3175</v>
      </c>
      <c r="AP672" s="82"/>
      <c r="AQ672" s="87" t="s">
        <v>59</v>
      </c>
      <c r="AR672" s="87" t="s">
        <v>80</v>
      </c>
      <c r="AS672" s="82"/>
      <c r="AT672" s="87">
        <v>8</v>
      </c>
      <c r="AU672" s="87">
        <v>1</v>
      </c>
      <c r="AV672" s="87">
        <f t="shared" si="95"/>
        <v>9</v>
      </c>
      <c r="AW672" s="87" t="str">
        <f t="shared" si="54"/>
        <v>Horarios Acordes</v>
      </c>
      <c r="AX672" s="87" t="s">
        <v>213</v>
      </c>
      <c r="AY672" s="87"/>
      <c r="AZ672" s="87"/>
      <c r="BA672" s="91" t="s">
        <v>3176</v>
      </c>
      <c r="BB672" s="84"/>
      <c r="BC672" s="85"/>
      <c r="BD672" s="85"/>
    </row>
    <row r="673" spans="1:56" s="86" customFormat="1" ht="46.5" customHeight="1">
      <c r="A673" s="87">
        <v>668</v>
      </c>
      <c r="B673" s="79" t="s">
        <v>3177</v>
      </c>
      <c r="C673" s="88">
        <v>45476</v>
      </c>
      <c r="D673" s="89">
        <v>0.75</v>
      </c>
      <c r="E673" s="87" t="s">
        <v>58</v>
      </c>
      <c r="F673" s="87" t="s">
        <v>116</v>
      </c>
      <c r="G673" s="87" t="s">
        <v>95</v>
      </c>
      <c r="H673" s="90" t="s">
        <v>3178</v>
      </c>
      <c r="I673" s="90" t="s">
        <v>118</v>
      </c>
      <c r="J673" s="87" t="s">
        <v>173</v>
      </c>
      <c r="K673" s="87"/>
      <c r="L673" s="90" t="s">
        <v>3179</v>
      </c>
      <c r="M673" s="91" t="s">
        <v>2715</v>
      </c>
      <c r="N673" s="90" t="s">
        <v>2152</v>
      </c>
      <c r="O673" s="90" t="str">
        <f t="shared" si="96"/>
        <v>Barrios Unidos</v>
      </c>
      <c r="P673" s="87" t="s">
        <v>686</v>
      </c>
      <c r="Q673" s="87"/>
      <c r="R673" s="87"/>
      <c r="S673" s="87"/>
      <c r="T673" s="87"/>
      <c r="U673" s="87"/>
      <c r="V673" s="90" t="str">
        <f t="shared" si="97"/>
        <v>Centro Ampliado</v>
      </c>
      <c r="W673" s="87" t="s">
        <v>415</v>
      </c>
      <c r="X673" s="87"/>
      <c r="Y673" s="87"/>
      <c r="Z673" s="87"/>
      <c r="AA673" s="87"/>
      <c r="AB673" s="87"/>
      <c r="AC673" s="90" t="str">
        <f t="shared" si="83"/>
        <v>Barrios Unidos</v>
      </c>
      <c r="AD673" s="87" t="s">
        <v>686</v>
      </c>
      <c r="AE673" s="87"/>
      <c r="AF673" s="87"/>
      <c r="AG673" s="87"/>
      <c r="AH673" s="87"/>
      <c r="AI673" s="87"/>
      <c r="AJ673" s="87"/>
      <c r="AK673" s="87"/>
      <c r="AL673" s="87"/>
      <c r="AM673" s="87"/>
      <c r="AN673" s="90" t="s">
        <v>160</v>
      </c>
      <c r="AO673" s="90" t="s">
        <v>3180</v>
      </c>
      <c r="AP673" s="82"/>
      <c r="AQ673" s="87" t="s">
        <v>59</v>
      </c>
      <c r="AR673" s="87" t="s">
        <v>80</v>
      </c>
      <c r="AS673" s="82"/>
      <c r="AT673" s="87">
        <v>40</v>
      </c>
      <c r="AU673" s="87">
        <v>1</v>
      </c>
      <c r="AV673" s="87">
        <f t="shared" si="95"/>
        <v>41</v>
      </c>
      <c r="AW673" s="87" t="str">
        <f t="shared" si="54"/>
        <v>Ninguna</v>
      </c>
      <c r="AX673" s="87" t="s">
        <v>75</v>
      </c>
      <c r="AY673" s="87"/>
      <c r="AZ673" s="87"/>
      <c r="BA673" s="91" t="s">
        <v>3181</v>
      </c>
      <c r="BB673" s="84"/>
      <c r="BC673" s="85"/>
      <c r="BD673" s="85"/>
    </row>
    <row r="674" spans="1:56" s="86" customFormat="1" ht="46.5" customHeight="1">
      <c r="A674" s="78">
        <v>669</v>
      </c>
      <c r="B674" s="79" t="s">
        <v>3182</v>
      </c>
      <c r="C674" s="88">
        <v>45477</v>
      </c>
      <c r="D674" s="89">
        <v>0.33333333333333331</v>
      </c>
      <c r="E674" s="87" t="s">
        <v>58</v>
      </c>
      <c r="F674" s="87" t="s">
        <v>149</v>
      </c>
      <c r="G674" s="87" t="s">
        <v>62</v>
      </c>
      <c r="H674" s="90" t="s">
        <v>3183</v>
      </c>
      <c r="I674" s="90" t="s">
        <v>172</v>
      </c>
      <c r="J674" s="87" t="s">
        <v>376</v>
      </c>
      <c r="K674" s="87" t="s">
        <v>2330</v>
      </c>
      <c r="L674" s="90" t="s">
        <v>3184</v>
      </c>
      <c r="M674" s="91">
        <v>3115769622</v>
      </c>
      <c r="N674" s="90" t="s">
        <v>1317</v>
      </c>
      <c r="O674" s="90" t="str">
        <f t="shared" si="96"/>
        <v>Suba</v>
      </c>
      <c r="P674" s="87" t="s">
        <v>394</v>
      </c>
      <c r="Q674" s="87"/>
      <c r="R674" s="87"/>
      <c r="S674" s="87"/>
      <c r="T674" s="87"/>
      <c r="U674" s="87"/>
      <c r="V674" s="90" t="str">
        <f t="shared" si="97"/>
        <v>Norte, Noroccidente</v>
      </c>
      <c r="W674" s="87" t="s">
        <v>429</v>
      </c>
      <c r="X674" s="87" t="s">
        <v>395</v>
      </c>
      <c r="Y674" s="87"/>
      <c r="Z674" s="87"/>
      <c r="AA674" s="87"/>
      <c r="AB674" s="87"/>
      <c r="AC674" s="90" t="str">
        <f t="shared" si="83"/>
        <v>Suba, Suba Rincón, Tibabuyes, Niza, Britalia, Torca</v>
      </c>
      <c r="AD674" s="87" t="s">
        <v>394</v>
      </c>
      <c r="AE674" s="87" t="s">
        <v>396</v>
      </c>
      <c r="AF674" s="87" t="s">
        <v>924</v>
      </c>
      <c r="AG674" s="87" t="s">
        <v>571</v>
      </c>
      <c r="AH674" s="87" t="s">
        <v>876</v>
      </c>
      <c r="AI674" s="87" t="s">
        <v>528</v>
      </c>
      <c r="AJ674" s="87"/>
      <c r="AK674" s="87"/>
      <c r="AL674" s="87"/>
      <c r="AM674" s="87"/>
      <c r="AN674" s="90" t="s">
        <v>3185</v>
      </c>
      <c r="AO674" s="90" t="s">
        <v>3186</v>
      </c>
      <c r="AP674" s="82"/>
      <c r="AQ674" s="87" t="s">
        <v>59</v>
      </c>
      <c r="AR674" s="87" t="s">
        <v>80</v>
      </c>
      <c r="AS674" s="82"/>
      <c r="AT674" s="87">
        <v>8</v>
      </c>
      <c r="AU674" s="87">
        <v>2</v>
      </c>
      <c r="AV674" s="87">
        <f t="shared" si="95"/>
        <v>10</v>
      </c>
      <c r="AW674" s="87" t="str">
        <f t="shared" si="54"/>
        <v>Ninguna</v>
      </c>
      <c r="AX674" s="87" t="s">
        <v>75</v>
      </c>
      <c r="AY674" s="87"/>
      <c r="AZ674" s="87"/>
      <c r="BA674" s="91" t="s">
        <v>3187</v>
      </c>
      <c r="BB674" s="84"/>
      <c r="BC674" s="85"/>
      <c r="BD674" s="85"/>
    </row>
    <row r="675" spans="1:56" s="86" customFormat="1" ht="46.5" customHeight="1">
      <c r="A675" s="87">
        <v>670</v>
      </c>
      <c r="B675" s="79" t="s">
        <v>523</v>
      </c>
      <c r="C675" s="88">
        <v>45477</v>
      </c>
      <c r="D675" s="89">
        <v>0.375</v>
      </c>
      <c r="E675" s="87" t="s">
        <v>58</v>
      </c>
      <c r="F675" s="87" t="s">
        <v>321</v>
      </c>
      <c r="G675" s="87" t="s">
        <v>62</v>
      </c>
      <c r="H675" s="90" t="s">
        <v>1907</v>
      </c>
      <c r="I675" s="90" t="s">
        <v>118</v>
      </c>
      <c r="J675" s="87" t="s">
        <v>70</v>
      </c>
      <c r="K675" s="87" t="s">
        <v>1810</v>
      </c>
      <c r="L675" s="90" t="s">
        <v>525</v>
      </c>
      <c r="M675" s="91" t="s">
        <v>3188</v>
      </c>
      <c r="N675" s="90" t="s">
        <v>526</v>
      </c>
      <c r="O675" s="90" t="str">
        <f t="shared" si="79"/>
        <v>Usaquén</v>
      </c>
      <c r="P675" s="87" t="s">
        <v>428</v>
      </c>
      <c r="Q675" s="87"/>
      <c r="R675" s="87"/>
      <c r="S675" s="87"/>
      <c r="T675" s="87"/>
      <c r="U675" s="87"/>
      <c r="V675" s="90" t="str">
        <f t="shared" si="82"/>
        <v>Norte, Ruralidad</v>
      </c>
      <c r="W675" s="87" t="s">
        <v>429</v>
      </c>
      <c r="X675" s="87" t="s">
        <v>109</v>
      </c>
      <c r="Y675" s="87"/>
      <c r="Z675" s="87"/>
      <c r="AA675" s="87"/>
      <c r="AB675" s="87"/>
      <c r="AC675" s="90" t="str">
        <f t="shared" si="83"/>
        <v>Usaquén, Toberín, Torca, Cerros Orientales</v>
      </c>
      <c r="AD675" s="87" t="s">
        <v>428</v>
      </c>
      <c r="AE675" s="87" t="s">
        <v>527</v>
      </c>
      <c r="AF675" s="87" t="s">
        <v>528</v>
      </c>
      <c r="AG675" s="87" t="s">
        <v>222</v>
      </c>
      <c r="AH675" s="87"/>
      <c r="AI675" s="87"/>
      <c r="AJ675" s="87"/>
      <c r="AK675" s="87"/>
      <c r="AL675" s="87"/>
      <c r="AM675" s="87"/>
      <c r="AN675" s="90" t="s">
        <v>160</v>
      </c>
      <c r="AO675" s="90" t="s">
        <v>3189</v>
      </c>
      <c r="AP675" s="82"/>
      <c r="AQ675" s="87" t="s">
        <v>59</v>
      </c>
      <c r="AR675" s="87" t="s">
        <v>80</v>
      </c>
      <c r="AS675" s="82"/>
      <c r="AT675" s="87">
        <v>14</v>
      </c>
      <c r="AU675" s="87">
        <v>1</v>
      </c>
      <c r="AV675" s="87">
        <f t="shared" si="94"/>
        <v>15</v>
      </c>
      <c r="AW675" s="87" t="str">
        <f t="shared" si="54"/>
        <v>Ninguna</v>
      </c>
      <c r="AX675" s="87" t="s">
        <v>75</v>
      </c>
      <c r="AY675" s="87"/>
      <c r="AZ675" s="87"/>
      <c r="BA675" s="91" t="s">
        <v>3190</v>
      </c>
      <c r="BB675" s="84"/>
      <c r="BC675" s="85"/>
      <c r="BD675" s="85"/>
    </row>
    <row r="676" spans="1:56" s="86" customFormat="1" ht="46.5" customHeight="1">
      <c r="A676" s="78">
        <v>671</v>
      </c>
      <c r="B676" s="79" t="s">
        <v>3191</v>
      </c>
      <c r="C676" s="88">
        <v>45477</v>
      </c>
      <c r="D676" s="89">
        <v>0.41666666666666669</v>
      </c>
      <c r="E676" s="87" t="s">
        <v>93</v>
      </c>
      <c r="F676" s="87" t="s">
        <v>321</v>
      </c>
      <c r="G676" s="87" t="s">
        <v>62</v>
      </c>
      <c r="H676" s="90" t="s">
        <v>3192</v>
      </c>
      <c r="I676" s="90" t="s">
        <v>64</v>
      </c>
      <c r="J676" s="87" t="s">
        <v>70</v>
      </c>
      <c r="K676" s="87" t="s">
        <v>1810</v>
      </c>
      <c r="L676" s="90" t="s">
        <v>3193</v>
      </c>
      <c r="M676" s="91" t="s">
        <v>3194</v>
      </c>
      <c r="N676" s="90" t="s">
        <v>486</v>
      </c>
      <c r="O676" s="90" t="str">
        <f>_xlfn.TEXTJOIN(", ",TRUE,$P676:$T676)</f>
        <v>La Candelaria</v>
      </c>
      <c r="P676" s="87" t="s">
        <v>487</v>
      </c>
      <c r="Q676" s="87"/>
      <c r="R676" s="87"/>
      <c r="S676" s="87"/>
      <c r="T676" s="87"/>
      <c r="U676" s="87"/>
      <c r="V676" s="90" t="str">
        <f>_xlfn.TEXTJOIN(", ",TRUE,$W676:$AB676)</f>
        <v>Centro Ampliado</v>
      </c>
      <c r="W676" s="87" t="s">
        <v>415</v>
      </c>
      <c r="X676" s="87"/>
      <c r="Y676" s="87"/>
      <c r="Z676" s="87"/>
      <c r="AA676" s="87"/>
      <c r="AB676" s="87"/>
      <c r="AC676" s="90" t="str">
        <f>_xlfn.TEXTJOIN(", ",TRUE,$AD676:$AM676)</f>
        <v>Centro Histórico</v>
      </c>
      <c r="AD676" s="87" t="s">
        <v>488</v>
      </c>
      <c r="AE676" s="87"/>
      <c r="AF676" s="87"/>
      <c r="AG676" s="87"/>
      <c r="AH676" s="87"/>
      <c r="AI676" s="87"/>
      <c r="AJ676" s="87"/>
      <c r="AK676" s="87"/>
      <c r="AL676" s="87"/>
      <c r="AM676" s="87"/>
      <c r="AN676" s="90" t="s">
        <v>2682</v>
      </c>
      <c r="AO676" s="90" t="s">
        <v>3195</v>
      </c>
      <c r="AP676" s="82"/>
      <c r="AQ676" s="87" t="s">
        <v>59</v>
      </c>
      <c r="AR676" s="87" t="s">
        <v>80</v>
      </c>
      <c r="AS676" s="82"/>
      <c r="AT676" s="87">
        <v>24</v>
      </c>
      <c r="AU676" s="87">
        <v>1</v>
      </c>
      <c r="AV676" s="87">
        <f>AT676+AU676</f>
        <v>25</v>
      </c>
      <c r="AW676" s="87" t="str">
        <f>_xlfn.TEXTJOIN(", ",TRUE,$AX676:$AZ676)</f>
        <v>Ninguna</v>
      </c>
      <c r="AX676" s="87" t="s">
        <v>75</v>
      </c>
      <c r="AY676" s="87"/>
      <c r="AZ676" s="87"/>
      <c r="BA676" s="91" t="s">
        <v>3196</v>
      </c>
      <c r="BB676" s="84"/>
      <c r="BC676" s="85"/>
      <c r="BD676" s="85"/>
    </row>
    <row r="677" spans="1:56" s="86" customFormat="1" ht="46.5" customHeight="1">
      <c r="A677" s="87">
        <v>672</v>
      </c>
      <c r="B677" s="79" t="s">
        <v>3197</v>
      </c>
      <c r="C677" s="88">
        <v>45477</v>
      </c>
      <c r="D677" s="89">
        <v>0.66666666666666663</v>
      </c>
      <c r="E677" s="87" t="s">
        <v>58</v>
      </c>
      <c r="F677" s="87" t="s">
        <v>2680</v>
      </c>
      <c r="G677" s="87" t="s">
        <v>62</v>
      </c>
      <c r="H677" s="90" t="s">
        <v>3198</v>
      </c>
      <c r="I677" s="90" t="s">
        <v>128</v>
      </c>
      <c r="J677" s="87" t="s">
        <v>173</v>
      </c>
      <c r="K677" s="87"/>
      <c r="L677" s="90" t="s">
        <v>3199</v>
      </c>
      <c r="M677" s="91" t="s">
        <v>3200</v>
      </c>
      <c r="N677" s="90" t="s">
        <v>3042</v>
      </c>
      <c r="O677" s="90" t="str">
        <f t="shared" ref="O677:O678" si="98">_xlfn.TEXTJOIN(", ",TRUE,$P677:$T677)</f>
        <v>Bosa</v>
      </c>
      <c r="P677" s="87" t="s">
        <v>472</v>
      </c>
      <c r="Q677" s="87"/>
      <c r="R677" s="87"/>
      <c r="S677" s="87"/>
      <c r="T677" s="87"/>
      <c r="U677" s="87"/>
      <c r="V677" s="90" t="str">
        <f t="shared" ref="V677:V678" si="99">_xlfn.TEXTJOIN(", ",TRUE,$W677:$AB677)</f>
        <v>Suroccidente</v>
      </c>
      <c r="W677" s="87" t="s">
        <v>474</v>
      </c>
      <c r="X677" s="87"/>
      <c r="Y677" s="87"/>
      <c r="Z677" s="87"/>
      <c r="AA677" s="87"/>
      <c r="AB677" s="87"/>
      <c r="AC677" s="90" t="str">
        <f t="shared" ref="AC677:AC678" si="100">_xlfn.TEXTJOIN(", ",TRUE,$AD677:$AM677)</f>
        <v>Porvenir</v>
      </c>
      <c r="AD677" s="87" t="s">
        <v>705</v>
      </c>
      <c r="AE677" s="87"/>
      <c r="AF677" s="87"/>
      <c r="AG677" s="87"/>
      <c r="AH677" s="87"/>
      <c r="AI677" s="87"/>
      <c r="AJ677" s="87"/>
      <c r="AK677" s="87"/>
      <c r="AL677" s="87"/>
      <c r="AM677" s="87"/>
      <c r="AN677" s="90" t="s">
        <v>3201</v>
      </c>
      <c r="AO677" s="90" t="s">
        <v>3202</v>
      </c>
      <c r="AP677" s="82"/>
      <c r="AQ677" s="87" t="s">
        <v>59</v>
      </c>
      <c r="AR677" s="87" t="s">
        <v>80</v>
      </c>
      <c r="AS677" s="82"/>
      <c r="AT677" s="87">
        <v>4</v>
      </c>
      <c r="AU677" s="87">
        <v>3</v>
      </c>
      <c r="AV677" s="87">
        <f t="shared" ref="AV677:AV678" si="101">AT677+AU677</f>
        <v>7</v>
      </c>
      <c r="AW677" s="87" t="str">
        <f t="shared" si="54"/>
        <v>Ninguna</v>
      </c>
      <c r="AX677" s="87" t="s">
        <v>75</v>
      </c>
      <c r="AY677" s="87"/>
      <c r="AZ677" s="87"/>
      <c r="BA677" s="91" t="s">
        <v>3203</v>
      </c>
      <c r="BB677" s="84"/>
      <c r="BC677" s="85"/>
      <c r="BD677" s="85"/>
    </row>
    <row r="678" spans="1:56" s="86" customFormat="1" ht="46.5" customHeight="1">
      <c r="A678" s="78">
        <v>673</v>
      </c>
      <c r="B678" s="79" t="s">
        <v>3204</v>
      </c>
      <c r="C678" s="88">
        <v>45477</v>
      </c>
      <c r="D678" s="89">
        <v>0.70833333333333337</v>
      </c>
      <c r="E678" s="87" t="s">
        <v>58</v>
      </c>
      <c r="F678" s="87" t="s">
        <v>102</v>
      </c>
      <c r="G678" s="87" t="s">
        <v>95</v>
      </c>
      <c r="H678" s="90" t="s">
        <v>3205</v>
      </c>
      <c r="I678" s="90" t="s">
        <v>118</v>
      </c>
      <c r="J678" s="87" t="s">
        <v>119</v>
      </c>
      <c r="K678" s="87" t="s">
        <v>129</v>
      </c>
      <c r="L678" s="90" t="s">
        <v>3146</v>
      </c>
      <c r="M678" s="91" t="s">
        <v>3012</v>
      </c>
      <c r="N678" s="90" t="s">
        <v>439</v>
      </c>
      <c r="O678" s="90" t="str">
        <f t="shared" si="98"/>
        <v>Distrital</v>
      </c>
      <c r="P678" s="87" t="s">
        <v>73</v>
      </c>
      <c r="Q678" s="87"/>
      <c r="R678" s="87"/>
      <c r="S678" s="87"/>
      <c r="T678" s="87"/>
      <c r="U678" s="87"/>
      <c r="V678" s="90" t="str">
        <f t="shared" si="99"/>
        <v>Distrital</v>
      </c>
      <c r="W678" s="87" t="s">
        <v>73</v>
      </c>
      <c r="X678" s="87"/>
      <c r="Y678" s="87"/>
      <c r="Z678" s="87"/>
      <c r="AA678" s="87"/>
      <c r="AB678" s="87"/>
      <c r="AC678" s="90" t="str">
        <f t="shared" si="100"/>
        <v>Distrital</v>
      </c>
      <c r="AD678" s="87" t="s">
        <v>73</v>
      </c>
      <c r="AE678" s="87"/>
      <c r="AF678" s="87"/>
      <c r="AG678" s="87"/>
      <c r="AH678" s="87"/>
      <c r="AI678" s="87"/>
      <c r="AJ678" s="87"/>
      <c r="AK678" s="87"/>
      <c r="AL678" s="87"/>
      <c r="AM678" s="87"/>
      <c r="AN678" s="90" t="s">
        <v>160</v>
      </c>
      <c r="AO678" s="111" t="s">
        <v>2638</v>
      </c>
      <c r="AP678" s="82"/>
      <c r="AQ678" s="87" t="s">
        <v>59</v>
      </c>
      <c r="AR678" s="87" t="s">
        <v>80</v>
      </c>
      <c r="AS678" s="82"/>
      <c r="AT678" s="87">
        <v>26</v>
      </c>
      <c r="AU678" s="87">
        <v>2</v>
      </c>
      <c r="AV678" s="87">
        <f t="shared" si="101"/>
        <v>28</v>
      </c>
      <c r="AW678" s="87" t="str">
        <f t="shared" si="54"/>
        <v>Ninguna</v>
      </c>
      <c r="AX678" s="87" t="s">
        <v>75</v>
      </c>
      <c r="AY678" s="87"/>
      <c r="AZ678" s="87"/>
      <c r="BA678" s="91" t="s">
        <v>3206</v>
      </c>
      <c r="BB678" s="84"/>
      <c r="BC678" s="85"/>
      <c r="BD678" s="85"/>
    </row>
    <row r="679" spans="1:56" s="86" customFormat="1" ht="61.5" customHeight="1">
      <c r="A679" s="87">
        <v>674</v>
      </c>
      <c r="B679" s="79" t="s">
        <v>3207</v>
      </c>
      <c r="C679" s="88">
        <v>45477</v>
      </c>
      <c r="D679" s="89">
        <v>0.75</v>
      </c>
      <c r="E679" s="87" t="s">
        <v>58</v>
      </c>
      <c r="F679" s="87" t="s">
        <v>2680</v>
      </c>
      <c r="G679" s="87" t="s">
        <v>62</v>
      </c>
      <c r="H679" s="90" t="s">
        <v>3208</v>
      </c>
      <c r="I679" s="90" t="s">
        <v>128</v>
      </c>
      <c r="J679" s="87" t="s">
        <v>119</v>
      </c>
      <c r="K679" s="87" t="s">
        <v>120</v>
      </c>
      <c r="L679" s="90" t="s">
        <v>3209</v>
      </c>
      <c r="M679" s="91" t="s">
        <v>3210</v>
      </c>
      <c r="N679" s="90" t="s">
        <v>3211</v>
      </c>
      <c r="O679" s="90" t="str">
        <f>_xlfn.TEXTJOIN(", ",TRUE,$P679:$T679)</f>
        <v>Kennedy</v>
      </c>
      <c r="P679" s="87" t="s">
        <v>473</v>
      </c>
      <c r="Q679" s="87"/>
      <c r="R679" s="87"/>
      <c r="S679" s="87"/>
      <c r="T679" s="87"/>
      <c r="U679" s="87"/>
      <c r="V679" s="90" t="str">
        <f>_xlfn.TEXTJOIN(", ",TRUE,$W679:$AB679)</f>
        <v>Suroccidente</v>
      </c>
      <c r="W679" s="87" t="s">
        <v>474</v>
      </c>
      <c r="X679" s="87"/>
      <c r="Y679" s="87"/>
      <c r="Z679" s="87"/>
      <c r="AA679" s="87"/>
      <c r="AB679" s="87"/>
      <c r="AC679" s="90" t="str">
        <f>_xlfn.TEXTJOIN(", ",TRUE,$AD679:$AM679)</f>
        <v>Edén, Patio Bonito, Bosa, Kennedy, Tintal, Porvenir</v>
      </c>
      <c r="AD679" s="87" t="s">
        <v>704</v>
      </c>
      <c r="AE679" s="87" t="s">
        <v>639</v>
      </c>
      <c r="AF679" s="87" t="s">
        <v>472</v>
      </c>
      <c r="AG679" s="87" t="s">
        <v>473</v>
      </c>
      <c r="AH679" s="87" t="s">
        <v>1134</v>
      </c>
      <c r="AI679" s="87" t="s">
        <v>705</v>
      </c>
      <c r="AJ679" s="87"/>
      <c r="AK679" s="87"/>
      <c r="AL679" s="87"/>
      <c r="AM679" s="87"/>
      <c r="AN679" s="90" t="s">
        <v>1134</v>
      </c>
      <c r="AO679" s="90" t="s">
        <v>3212</v>
      </c>
      <c r="AP679" s="82"/>
      <c r="AQ679" s="87" t="s">
        <v>59</v>
      </c>
      <c r="AR679" s="87" t="s">
        <v>80</v>
      </c>
      <c r="AS679" s="82"/>
      <c r="AT679" s="87">
        <v>8</v>
      </c>
      <c r="AU679" s="87">
        <v>3</v>
      </c>
      <c r="AV679" s="87">
        <f>AT679+AU679</f>
        <v>11</v>
      </c>
      <c r="AW679" s="87" t="str">
        <f>_xlfn.TEXTJOIN(", ",TRUE,$AX679:$AZ679)</f>
        <v>Horarios Acordes</v>
      </c>
      <c r="AX679" s="87" t="s">
        <v>213</v>
      </c>
      <c r="AY679" s="87"/>
      <c r="AZ679" s="87"/>
      <c r="BA679" s="91" t="s">
        <v>3213</v>
      </c>
      <c r="BB679" s="84"/>
      <c r="BC679" s="85"/>
      <c r="BD679" s="85"/>
    </row>
    <row r="680" spans="1:56" s="86" customFormat="1" ht="46.5" customHeight="1">
      <c r="A680" s="78">
        <v>675</v>
      </c>
      <c r="B680" s="79" t="s">
        <v>3214</v>
      </c>
      <c r="C680" s="88">
        <v>45478</v>
      </c>
      <c r="D680" s="89">
        <v>0.66666666666666663</v>
      </c>
      <c r="E680" s="87" t="s">
        <v>58</v>
      </c>
      <c r="F680" s="87" t="s">
        <v>2227</v>
      </c>
      <c r="G680" s="87" t="s">
        <v>62</v>
      </c>
      <c r="H680" s="90" t="s">
        <v>3215</v>
      </c>
      <c r="I680" s="90" t="s">
        <v>188</v>
      </c>
      <c r="J680" s="87" t="s">
        <v>173</v>
      </c>
      <c r="K680" s="87"/>
      <c r="L680" s="90" t="s">
        <v>3216</v>
      </c>
      <c r="M680" s="91" t="s">
        <v>3217</v>
      </c>
      <c r="N680" s="90" t="s">
        <v>3218</v>
      </c>
      <c r="O680" s="90" t="str">
        <f t="shared" si="79"/>
        <v>Puente Aranda</v>
      </c>
      <c r="P680" s="87" t="s">
        <v>823</v>
      </c>
      <c r="Q680" s="87"/>
      <c r="R680" s="87"/>
      <c r="S680" s="87"/>
      <c r="T680" s="87"/>
      <c r="U680" s="87"/>
      <c r="V680" s="90" t="str">
        <f t="shared" si="82"/>
        <v>Centro Ampliado</v>
      </c>
      <c r="W680" s="87" t="s">
        <v>415</v>
      </c>
      <c r="X680" s="87"/>
      <c r="Y680" s="87"/>
      <c r="Z680" s="87"/>
      <c r="AA680" s="87"/>
      <c r="AB680" s="87"/>
      <c r="AC680" s="90" t="str">
        <f t="shared" si="83"/>
        <v>Puente Aranda</v>
      </c>
      <c r="AD680" s="87" t="s">
        <v>823</v>
      </c>
      <c r="AE680" s="87"/>
      <c r="AF680" s="87"/>
      <c r="AG680" s="87"/>
      <c r="AH680" s="87"/>
      <c r="AI680" s="87"/>
      <c r="AJ680" s="87"/>
      <c r="AK680" s="87"/>
      <c r="AL680" s="87"/>
      <c r="AM680" s="87"/>
      <c r="AN680" s="90" t="s">
        <v>823</v>
      </c>
      <c r="AO680" s="90" t="s">
        <v>3219</v>
      </c>
      <c r="AP680" s="82"/>
      <c r="AQ680" s="87" t="s">
        <v>59</v>
      </c>
      <c r="AR680" s="87" t="s">
        <v>80</v>
      </c>
      <c r="AS680" s="82"/>
      <c r="AT680" s="87">
        <v>13</v>
      </c>
      <c r="AU680" s="87">
        <v>10</v>
      </c>
      <c r="AV680" s="87">
        <f t="shared" ref="AV680:AV684" si="102">AT680+AU680</f>
        <v>23</v>
      </c>
      <c r="AW680" s="87" t="str">
        <f t="shared" si="54"/>
        <v>Accesibilidad Universal</v>
      </c>
      <c r="AX680" s="87" t="s">
        <v>246</v>
      </c>
      <c r="AY680" s="87"/>
      <c r="AZ680" s="87"/>
      <c r="BA680" s="91" t="s">
        <v>3220</v>
      </c>
      <c r="BB680" s="84"/>
      <c r="BC680" s="85"/>
      <c r="BD680" s="85"/>
    </row>
    <row r="681" spans="1:56" s="86" customFormat="1" ht="46.5" customHeight="1">
      <c r="A681" s="87">
        <v>676</v>
      </c>
      <c r="B681" s="79" t="s">
        <v>3221</v>
      </c>
      <c r="C681" s="88">
        <v>45478</v>
      </c>
      <c r="D681" s="89">
        <v>0.70833333333333337</v>
      </c>
      <c r="E681" s="87" t="s">
        <v>93</v>
      </c>
      <c r="F681" s="87" t="s">
        <v>102</v>
      </c>
      <c r="G681" s="87" t="s">
        <v>95</v>
      </c>
      <c r="H681" s="90" t="s">
        <v>3222</v>
      </c>
      <c r="I681" s="90" t="s">
        <v>118</v>
      </c>
      <c r="J681" s="87" t="s">
        <v>119</v>
      </c>
      <c r="K681" s="87" t="s">
        <v>129</v>
      </c>
      <c r="L681" s="90" t="s">
        <v>3223</v>
      </c>
      <c r="M681" s="91" t="s">
        <v>2894</v>
      </c>
      <c r="N681" s="90" t="s">
        <v>2895</v>
      </c>
      <c r="O681" s="90" t="str">
        <f>_xlfn.TEXTJOIN(", ",TRUE,$P681:$T681)</f>
        <v>Distrital</v>
      </c>
      <c r="P681" s="87" t="s">
        <v>73</v>
      </c>
      <c r="Q681" s="87"/>
      <c r="R681" s="87"/>
      <c r="S681" s="87"/>
      <c r="T681" s="87"/>
      <c r="U681" s="87"/>
      <c r="V681" s="90" t="str">
        <f>_xlfn.TEXTJOIN(", ",TRUE,$W681:$AB681)</f>
        <v>Distrital</v>
      </c>
      <c r="W681" s="87" t="s">
        <v>73</v>
      </c>
      <c r="X681" s="87"/>
      <c r="Y681" s="87"/>
      <c r="Z681" s="87"/>
      <c r="AA681" s="87"/>
      <c r="AB681" s="87"/>
      <c r="AC681" s="90" t="str">
        <f>_xlfn.TEXTJOIN(", ",TRUE,$AD681:$AM681)</f>
        <v>Distrital</v>
      </c>
      <c r="AD681" s="87" t="s">
        <v>73</v>
      </c>
      <c r="AE681" s="87"/>
      <c r="AF681" s="87"/>
      <c r="AG681" s="87"/>
      <c r="AH681" s="87"/>
      <c r="AI681" s="87"/>
      <c r="AJ681" s="87"/>
      <c r="AK681" s="87"/>
      <c r="AL681" s="87"/>
      <c r="AM681" s="87"/>
      <c r="AN681" s="90" t="s">
        <v>160</v>
      </c>
      <c r="AO681" s="102" t="s">
        <v>2638</v>
      </c>
      <c r="AP681" s="82"/>
      <c r="AQ681" s="87" t="s">
        <v>59</v>
      </c>
      <c r="AR681" s="87" t="s">
        <v>80</v>
      </c>
      <c r="AS681" s="82"/>
      <c r="AT681" s="87">
        <v>11</v>
      </c>
      <c r="AU681" s="87">
        <v>2</v>
      </c>
      <c r="AV681" s="87">
        <f>AT681+AU681</f>
        <v>13</v>
      </c>
      <c r="AW681" s="87" t="str">
        <f>_xlfn.TEXTJOIN(", ",TRUE,$AX681:$AZ681)</f>
        <v>Ninguna</v>
      </c>
      <c r="AX681" s="87" t="s">
        <v>75</v>
      </c>
      <c r="AY681" s="87"/>
      <c r="AZ681" s="87"/>
      <c r="BA681" s="91" t="s">
        <v>3224</v>
      </c>
      <c r="BB681" s="84"/>
      <c r="BC681" s="85"/>
      <c r="BD681" s="85"/>
    </row>
    <row r="682" spans="1:56" s="86" customFormat="1" ht="46.5" customHeight="1">
      <c r="A682" s="78">
        <v>677</v>
      </c>
      <c r="B682" s="79" t="s">
        <v>3225</v>
      </c>
      <c r="C682" s="88">
        <v>45478</v>
      </c>
      <c r="D682" s="89">
        <v>0.70833333333333337</v>
      </c>
      <c r="E682" s="87" t="s">
        <v>58</v>
      </c>
      <c r="F682" s="87" t="s">
        <v>2121</v>
      </c>
      <c r="G682" s="87" t="s">
        <v>62</v>
      </c>
      <c r="H682" s="90" t="s">
        <v>3226</v>
      </c>
      <c r="I682" s="90" t="s">
        <v>188</v>
      </c>
      <c r="J682" s="87" t="s">
        <v>173</v>
      </c>
      <c r="K682" s="87"/>
      <c r="L682" s="90" t="s">
        <v>3227</v>
      </c>
      <c r="M682" s="91" t="s">
        <v>72</v>
      </c>
      <c r="N682" s="90" t="s">
        <v>3228</v>
      </c>
      <c r="O682" s="90" t="str">
        <f t="shared" si="79"/>
        <v>Bosa</v>
      </c>
      <c r="P682" s="87" t="s">
        <v>472</v>
      </c>
      <c r="Q682" s="87"/>
      <c r="R682" s="87"/>
      <c r="S682" s="87"/>
      <c r="T682" s="87"/>
      <c r="U682" s="87"/>
      <c r="V682" s="90" t="str">
        <f t="shared" si="82"/>
        <v>Suroccidente</v>
      </c>
      <c r="W682" s="87" t="s">
        <v>474</v>
      </c>
      <c r="X682" s="87"/>
      <c r="Y682" s="87"/>
      <c r="Z682" s="87"/>
      <c r="AA682" s="87"/>
      <c r="AB682" s="87"/>
      <c r="AC682" s="90" t="str">
        <f t="shared" si="83"/>
        <v>Edén, Patio Bonito, Bosa</v>
      </c>
      <c r="AD682" s="87" t="s">
        <v>704</v>
      </c>
      <c r="AE682" s="87" t="s">
        <v>639</v>
      </c>
      <c r="AF682" s="87" t="s">
        <v>472</v>
      </c>
      <c r="AG682" s="87"/>
      <c r="AH682" s="87"/>
      <c r="AI682" s="87"/>
      <c r="AJ682" s="87"/>
      <c r="AK682" s="87"/>
      <c r="AL682" s="87"/>
      <c r="AM682" s="87"/>
      <c r="AN682" s="90" t="s">
        <v>472</v>
      </c>
      <c r="AO682" s="90" t="s">
        <v>3229</v>
      </c>
      <c r="AP682" s="82"/>
      <c r="AQ682" s="87" t="s">
        <v>59</v>
      </c>
      <c r="AR682" s="87" t="s">
        <v>80</v>
      </c>
      <c r="AS682" s="82"/>
      <c r="AT682" s="87">
        <v>11</v>
      </c>
      <c r="AU682" s="87">
        <v>2</v>
      </c>
      <c r="AV682" s="87">
        <f t="shared" si="102"/>
        <v>13</v>
      </c>
      <c r="AW682" s="87" t="str">
        <f t="shared" si="54"/>
        <v>Ninguna</v>
      </c>
      <c r="AX682" s="87" t="s">
        <v>75</v>
      </c>
      <c r="AY682" s="87"/>
      <c r="AZ682" s="87"/>
      <c r="BA682" s="91" t="s">
        <v>3230</v>
      </c>
      <c r="BB682" s="84"/>
      <c r="BC682" s="85"/>
      <c r="BD682" s="85"/>
    </row>
    <row r="683" spans="1:56" s="86" customFormat="1" ht="46.5" customHeight="1">
      <c r="A683" s="87">
        <v>678</v>
      </c>
      <c r="B683" s="79" t="s">
        <v>3231</v>
      </c>
      <c r="C683" s="88">
        <v>45479</v>
      </c>
      <c r="D683" s="89">
        <v>0.375</v>
      </c>
      <c r="E683" s="87" t="s">
        <v>58</v>
      </c>
      <c r="F683" s="87" t="s">
        <v>149</v>
      </c>
      <c r="G683" s="87" t="s">
        <v>62</v>
      </c>
      <c r="H683" s="90" t="s">
        <v>3232</v>
      </c>
      <c r="I683" s="90" t="s">
        <v>172</v>
      </c>
      <c r="J683" s="87" t="s">
        <v>119</v>
      </c>
      <c r="K683" s="87" t="s">
        <v>120</v>
      </c>
      <c r="L683" s="90" t="s">
        <v>1847</v>
      </c>
      <c r="M683" s="91" t="s">
        <v>3233</v>
      </c>
      <c r="N683" s="90" t="s">
        <v>3042</v>
      </c>
      <c r="O683" s="90" t="str">
        <f t="shared" si="79"/>
        <v>Ciudad Bolívar</v>
      </c>
      <c r="P683" s="87" t="s">
        <v>107</v>
      </c>
      <c r="Q683" s="87"/>
      <c r="R683" s="87"/>
      <c r="S683" s="87"/>
      <c r="T683" s="87"/>
      <c r="U683" s="87"/>
      <c r="V683" s="90" t="str">
        <f t="shared" si="82"/>
        <v>Suroriente, Ruralidad</v>
      </c>
      <c r="W683" s="87" t="s">
        <v>108</v>
      </c>
      <c r="X683" s="87" t="s">
        <v>109</v>
      </c>
      <c r="Y683" s="87"/>
      <c r="Z683" s="87"/>
      <c r="AA683" s="87"/>
      <c r="AB683" s="87"/>
      <c r="AC683" s="90" t="str">
        <f t="shared" si="83"/>
        <v>Arborizadora, Cuenca del Tunjuelo, Cuenca del Tunjuelo</v>
      </c>
      <c r="AD683" s="87" t="s">
        <v>110</v>
      </c>
      <c r="AE683" s="87" t="s">
        <v>112</v>
      </c>
      <c r="AF683" s="87" t="s">
        <v>112</v>
      </c>
      <c r="AG683" s="87"/>
      <c r="AH683" s="87"/>
      <c r="AI683" s="87"/>
      <c r="AJ683" s="87"/>
      <c r="AK683" s="87"/>
      <c r="AL683" s="87"/>
      <c r="AM683" s="87"/>
      <c r="AN683" s="90" t="s">
        <v>3234</v>
      </c>
      <c r="AO683" s="90" t="s">
        <v>3235</v>
      </c>
      <c r="AP683" s="82"/>
      <c r="AQ683" s="87" t="s">
        <v>59</v>
      </c>
      <c r="AR683" s="87" t="s">
        <v>80</v>
      </c>
      <c r="AS683" s="82"/>
      <c r="AT683" s="87">
        <v>28</v>
      </c>
      <c r="AU683" s="87">
        <v>2</v>
      </c>
      <c r="AV683" s="87">
        <f t="shared" si="102"/>
        <v>30</v>
      </c>
      <c r="AW683" s="87" t="str">
        <f t="shared" si="54"/>
        <v>Ninguna</v>
      </c>
      <c r="AX683" s="87" t="s">
        <v>75</v>
      </c>
      <c r="AY683" s="87"/>
      <c r="AZ683" s="87"/>
      <c r="BA683" s="91" t="s">
        <v>3236</v>
      </c>
      <c r="BB683" s="84"/>
      <c r="BC683" s="85"/>
      <c r="BD683" s="85"/>
    </row>
    <row r="684" spans="1:56" s="86" customFormat="1" ht="46.5" customHeight="1">
      <c r="A684" s="78">
        <v>679</v>
      </c>
      <c r="B684" s="79" t="s">
        <v>3237</v>
      </c>
      <c r="C684" s="88">
        <v>45479</v>
      </c>
      <c r="D684" s="89">
        <v>0.375</v>
      </c>
      <c r="E684" s="87" t="s">
        <v>58</v>
      </c>
      <c r="F684" s="87" t="s">
        <v>2227</v>
      </c>
      <c r="G684" s="87" t="s">
        <v>62</v>
      </c>
      <c r="H684" s="90" t="s">
        <v>3238</v>
      </c>
      <c r="I684" s="90" t="s">
        <v>188</v>
      </c>
      <c r="J684" s="87" t="s">
        <v>173</v>
      </c>
      <c r="K684" s="87"/>
      <c r="L684" s="90" t="s">
        <v>2714</v>
      </c>
      <c r="M684" s="91" t="s">
        <v>2715</v>
      </c>
      <c r="N684" s="90" t="s">
        <v>2152</v>
      </c>
      <c r="O684" s="90" t="str">
        <f t="shared" si="79"/>
        <v>Barrios Unidos</v>
      </c>
      <c r="P684" s="87" t="s">
        <v>686</v>
      </c>
      <c r="Q684" s="87"/>
      <c r="R684" s="87"/>
      <c r="S684" s="87"/>
      <c r="T684" s="87"/>
      <c r="U684" s="87"/>
      <c r="V684" s="90" t="str">
        <f t="shared" si="82"/>
        <v>Centro Ampliado</v>
      </c>
      <c r="W684" s="87" t="s">
        <v>415</v>
      </c>
      <c r="X684" s="87"/>
      <c r="Y684" s="87"/>
      <c r="Z684" s="87"/>
      <c r="AA684" s="87"/>
      <c r="AB684" s="87"/>
      <c r="AC684" s="90" t="str">
        <f t="shared" si="83"/>
        <v>Barrios Unidos</v>
      </c>
      <c r="AD684" s="87" t="s">
        <v>686</v>
      </c>
      <c r="AE684" s="87"/>
      <c r="AF684" s="87"/>
      <c r="AG684" s="87"/>
      <c r="AH684" s="87"/>
      <c r="AI684" s="87"/>
      <c r="AJ684" s="87"/>
      <c r="AK684" s="87"/>
      <c r="AL684" s="87"/>
      <c r="AM684" s="87"/>
      <c r="AN684" s="90" t="s">
        <v>3239</v>
      </c>
      <c r="AO684" s="90" t="s">
        <v>3240</v>
      </c>
      <c r="AP684" s="82"/>
      <c r="AQ684" s="87" t="s">
        <v>59</v>
      </c>
      <c r="AR684" s="87" t="s">
        <v>80</v>
      </c>
      <c r="AS684" s="82"/>
      <c r="AT684" s="87">
        <v>24</v>
      </c>
      <c r="AU684" s="87">
        <v>2</v>
      </c>
      <c r="AV684" s="87">
        <f t="shared" si="102"/>
        <v>26</v>
      </c>
      <c r="AW684" s="87" t="str">
        <f t="shared" si="54"/>
        <v>Ninguna</v>
      </c>
      <c r="AX684" s="87" t="s">
        <v>75</v>
      </c>
      <c r="AY684" s="87"/>
      <c r="AZ684" s="87"/>
      <c r="BA684" s="91" t="s">
        <v>3241</v>
      </c>
      <c r="BB684" s="84"/>
      <c r="BC684" s="85"/>
      <c r="BD684" s="85"/>
    </row>
    <row r="685" spans="1:56" s="86" customFormat="1" ht="56.25" customHeight="1">
      <c r="A685" s="87">
        <v>680</v>
      </c>
      <c r="B685" s="79" t="s">
        <v>3242</v>
      </c>
      <c r="C685" s="88">
        <v>45479</v>
      </c>
      <c r="D685" s="89">
        <v>0.41666666666666669</v>
      </c>
      <c r="E685" s="87" t="s">
        <v>58</v>
      </c>
      <c r="F685" s="87" t="s">
        <v>61</v>
      </c>
      <c r="G685" s="87" t="s">
        <v>62</v>
      </c>
      <c r="H685" s="90" t="s">
        <v>3243</v>
      </c>
      <c r="I685" s="90" t="s">
        <v>128</v>
      </c>
      <c r="J685" s="87" t="s">
        <v>816</v>
      </c>
      <c r="K685" s="87"/>
      <c r="L685" s="90" t="s">
        <v>3244</v>
      </c>
      <c r="M685" s="91" t="s">
        <v>3245</v>
      </c>
      <c r="N685" s="90" t="s">
        <v>72</v>
      </c>
      <c r="O685" s="90" t="str">
        <f t="shared" si="79"/>
        <v>Sumapaz</v>
      </c>
      <c r="P685" s="87" t="s">
        <v>327</v>
      </c>
      <c r="Q685" s="87"/>
      <c r="R685" s="87"/>
      <c r="S685" s="87"/>
      <c r="T685" s="87"/>
      <c r="U685" s="87"/>
      <c r="V685" s="90" t="str">
        <f t="shared" si="82"/>
        <v>Ruralidad</v>
      </c>
      <c r="W685" s="87" t="s">
        <v>109</v>
      </c>
      <c r="X685" s="87"/>
      <c r="Y685" s="87"/>
      <c r="Z685" s="87"/>
      <c r="AA685" s="87"/>
      <c r="AB685" s="87"/>
      <c r="AC685" s="90" t="str">
        <f t="shared" si="83"/>
        <v>Sumapaz</v>
      </c>
      <c r="AD685" s="87" t="s">
        <v>327</v>
      </c>
      <c r="AE685" s="87"/>
      <c r="AF685" s="87"/>
      <c r="AG685" s="87"/>
      <c r="AH685" s="87"/>
      <c r="AI685" s="87"/>
      <c r="AJ685" s="87"/>
      <c r="AK685" s="87"/>
      <c r="AL685" s="87"/>
      <c r="AM685" s="87"/>
      <c r="AN685" s="90" t="s">
        <v>2990</v>
      </c>
      <c r="AO685" s="90" t="s">
        <v>3246</v>
      </c>
      <c r="AP685" s="82"/>
      <c r="AQ685" s="87" t="s">
        <v>60</v>
      </c>
      <c r="AR685" s="87" t="s">
        <v>2854</v>
      </c>
      <c r="AS685" s="82"/>
      <c r="AT685" s="87">
        <v>18</v>
      </c>
      <c r="AU685" s="87">
        <v>9</v>
      </c>
      <c r="AV685" s="87">
        <f>AT685+AU685</f>
        <v>27</v>
      </c>
      <c r="AW685" s="87" t="str">
        <f t="shared" si="54"/>
        <v>Horarios Acordes, Contenidos adaptados</v>
      </c>
      <c r="AX685" s="87" t="s">
        <v>213</v>
      </c>
      <c r="AY685" s="87" t="s">
        <v>212</v>
      </c>
      <c r="AZ685" s="87"/>
      <c r="BA685" s="91" t="s">
        <v>3247</v>
      </c>
      <c r="BB685" s="84"/>
      <c r="BC685" s="85"/>
      <c r="BD685" s="85"/>
    </row>
    <row r="686" spans="1:56" s="86" customFormat="1" ht="46.5" customHeight="1">
      <c r="A686" s="78">
        <v>681</v>
      </c>
      <c r="B686" s="79" t="s">
        <v>3248</v>
      </c>
      <c r="C686" s="88">
        <v>45479</v>
      </c>
      <c r="D686" s="89">
        <v>0.58333333333333337</v>
      </c>
      <c r="E686" s="87" t="s">
        <v>58</v>
      </c>
      <c r="F686" s="87" t="s">
        <v>61</v>
      </c>
      <c r="G686" s="87" t="s">
        <v>62</v>
      </c>
      <c r="H686" s="90" t="s">
        <v>3243</v>
      </c>
      <c r="I686" s="90" t="s">
        <v>128</v>
      </c>
      <c r="J686" s="87" t="s">
        <v>816</v>
      </c>
      <c r="K686" s="87"/>
      <c r="L686" s="90" t="s">
        <v>3249</v>
      </c>
      <c r="M686" s="91">
        <v>3106491537</v>
      </c>
      <c r="N686" s="90" t="s">
        <v>72</v>
      </c>
      <c r="O686" s="90" t="str">
        <f t="shared" si="79"/>
        <v>Sumapaz</v>
      </c>
      <c r="P686" s="87" t="s">
        <v>327</v>
      </c>
      <c r="Q686" s="87"/>
      <c r="R686" s="87"/>
      <c r="S686" s="87"/>
      <c r="T686" s="87"/>
      <c r="U686" s="87"/>
      <c r="V686" s="90" t="str">
        <f t="shared" si="82"/>
        <v>Ruralidad</v>
      </c>
      <c r="W686" s="87" t="s">
        <v>109</v>
      </c>
      <c r="X686" s="87"/>
      <c r="Y686" s="87"/>
      <c r="Z686" s="87"/>
      <c r="AA686" s="87"/>
      <c r="AB686" s="87"/>
      <c r="AC686" s="90" t="str">
        <f t="shared" si="83"/>
        <v>Sumapaz</v>
      </c>
      <c r="AD686" s="87" t="s">
        <v>327</v>
      </c>
      <c r="AE686" s="87"/>
      <c r="AF686" s="87"/>
      <c r="AG686" s="87"/>
      <c r="AH686" s="87"/>
      <c r="AI686" s="87"/>
      <c r="AJ686" s="87"/>
      <c r="AK686" s="87"/>
      <c r="AL686" s="87"/>
      <c r="AM686" s="87"/>
      <c r="AN686" s="90" t="s">
        <v>2990</v>
      </c>
      <c r="AO686" s="90" t="s">
        <v>3250</v>
      </c>
      <c r="AP686" s="82"/>
      <c r="AQ686" s="87" t="s">
        <v>60</v>
      </c>
      <c r="AR686" s="87" t="s">
        <v>2854</v>
      </c>
      <c r="AS686" s="82"/>
      <c r="AT686" s="87">
        <v>19</v>
      </c>
      <c r="AU686" s="87">
        <v>10</v>
      </c>
      <c r="AV686" s="87">
        <f t="shared" si="46"/>
        <v>29</v>
      </c>
      <c r="AW686" s="87" t="str">
        <f t="shared" si="54"/>
        <v>Horarios Acordes, Contenidos adaptados</v>
      </c>
      <c r="AX686" s="87" t="s">
        <v>213</v>
      </c>
      <c r="AY686" s="87" t="s">
        <v>212</v>
      </c>
      <c r="AZ686" s="87"/>
      <c r="BA686" s="91" t="s">
        <v>3251</v>
      </c>
      <c r="BB686" s="84"/>
      <c r="BC686" s="85"/>
      <c r="BD686" s="85"/>
    </row>
    <row r="687" spans="1:56" s="86" customFormat="1" ht="46.5" customHeight="1">
      <c r="A687" s="87">
        <v>682</v>
      </c>
      <c r="B687" s="79" t="s">
        <v>3252</v>
      </c>
      <c r="C687" s="88">
        <v>45481</v>
      </c>
      <c r="D687" s="89">
        <v>0.375</v>
      </c>
      <c r="E687" s="87" t="s">
        <v>93</v>
      </c>
      <c r="F687" s="87" t="s">
        <v>321</v>
      </c>
      <c r="G687" s="87" t="s">
        <v>62</v>
      </c>
      <c r="H687" s="90" t="s">
        <v>3253</v>
      </c>
      <c r="I687" s="90" t="s">
        <v>64</v>
      </c>
      <c r="J687" s="87" t="s">
        <v>70</v>
      </c>
      <c r="K687" s="87" t="s">
        <v>1810</v>
      </c>
      <c r="L687" s="90" t="s">
        <v>2752</v>
      </c>
      <c r="M687" s="91" t="s">
        <v>2753</v>
      </c>
      <c r="N687" s="90" t="s">
        <v>2476</v>
      </c>
      <c r="O687" s="90" t="str">
        <f t="shared" si="79"/>
        <v>Kennedy</v>
      </c>
      <c r="P687" s="87" t="s">
        <v>473</v>
      </c>
      <c r="Q687" s="87"/>
      <c r="R687" s="87"/>
      <c r="S687" s="87"/>
      <c r="T687" s="87"/>
      <c r="U687" s="87"/>
      <c r="V687" s="90" t="str">
        <f t="shared" si="82"/>
        <v>Suroccidente</v>
      </c>
      <c r="W687" s="87" t="s">
        <v>474</v>
      </c>
      <c r="X687" s="87"/>
      <c r="Y687" s="87"/>
      <c r="Z687" s="87"/>
      <c r="AA687" s="87"/>
      <c r="AB687" s="87"/>
      <c r="AC687" s="90" t="str">
        <f t="shared" si="83"/>
        <v>Kennedy, Tintal, Patio Bonito, Edén, Porvenir, Bosa</v>
      </c>
      <c r="AD687" s="87" t="s">
        <v>473</v>
      </c>
      <c r="AE687" s="87" t="s">
        <v>1134</v>
      </c>
      <c r="AF687" s="87" t="s">
        <v>639</v>
      </c>
      <c r="AG687" s="87" t="s">
        <v>704</v>
      </c>
      <c r="AH687" s="87" t="s">
        <v>705</v>
      </c>
      <c r="AI687" s="87" t="s">
        <v>472</v>
      </c>
      <c r="AJ687" s="87"/>
      <c r="AK687" s="87"/>
      <c r="AL687" s="87"/>
      <c r="AM687" s="87"/>
      <c r="AN687" s="90" t="s">
        <v>473</v>
      </c>
      <c r="AO687" s="90" t="s">
        <v>2754</v>
      </c>
      <c r="AP687" s="82"/>
      <c r="AQ687" s="87" t="s">
        <v>59</v>
      </c>
      <c r="AR687" s="87" t="s">
        <v>80</v>
      </c>
      <c r="AS687" s="82"/>
      <c r="AT687" s="87">
        <v>13</v>
      </c>
      <c r="AU687" s="87">
        <v>1</v>
      </c>
      <c r="AV687" s="87">
        <f t="shared" ref="AV687:AV732" si="103">AT687+AU687</f>
        <v>14</v>
      </c>
      <c r="AW687" s="87" t="str">
        <f t="shared" si="54"/>
        <v>Ninguna</v>
      </c>
      <c r="AX687" s="87" t="s">
        <v>75</v>
      </c>
      <c r="AY687" s="87"/>
      <c r="AZ687" s="87"/>
      <c r="BA687" s="91" t="s">
        <v>3254</v>
      </c>
      <c r="BB687" s="84"/>
      <c r="BC687" s="85"/>
      <c r="BD687" s="85"/>
    </row>
    <row r="688" spans="1:56" s="86" customFormat="1" ht="46.5" customHeight="1">
      <c r="A688" s="78">
        <v>683</v>
      </c>
      <c r="B688" s="79" t="s">
        <v>3255</v>
      </c>
      <c r="C688" s="88">
        <v>45481</v>
      </c>
      <c r="D688" s="89">
        <v>0.39583333333333331</v>
      </c>
      <c r="E688" s="87" t="s">
        <v>58</v>
      </c>
      <c r="F688" s="87" t="s">
        <v>2680</v>
      </c>
      <c r="G688" s="87" t="s">
        <v>62</v>
      </c>
      <c r="H688" s="90" t="s">
        <v>3256</v>
      </c>
      <c r="I688" s="90" t="s">
        <v>128</v>
      </c>
      <c r="J688" s="87" t="s">
        <v>70</v>
      </c>
      <c r="K688" s="87" t="s">
        <v>104</v>
      </c>
      <c r="L688" s="90" t="s">
        <v>3257</v>
      </c>
      <c r="M688" s="91" t="s">
        <v>3258</v>
      </c>
      <c r="N688" s="90" t="s">
        <v>2553</v>
      </c>
      <c r="O688" s="90" t="str">
        <f t="shared" si="79"/>
        <v>Tunjuelito</v>
      </c>
      <c r="P688" s="87" t="s">
        <v>618</v>
      </c>
      <c r="Q688" s="87"/>
      <c r="R688" s="87"/>
      <c r="S688" s="87"/>
      <c r="T688" s="87"/>
      <c r="U688" s="87"/>
      <c r="V688" s="90" t="str">
        <f t="shared" si="82"/>
        <v>Suroriente</v>
      </c>
      <c r="W688" s="87" t="s">
        <v>108</v>
      </c>
      <c r="X688" s="87"/>
      <c r="Y688" s="87"/>
      <c r="Z688" s="87"/>
      <c r="AA688" s="87"/>
      <c r="AB688" s="87"/>
      <c r="AC688" s="90" t="str">
        <f t="shared" si="83"/>
        <v>Tunjuelito, Arborizadora</v>
      </c>
      <c r="AD688" s="87" t="s">
        <v>618</v>
      </c>
      <c r="AE688" s="87" t="s">
        <v>110</v>
      </c>
      <c r="AF688" s="87"/>
      <c r="AG688" s="87"/>
      <c r="AH688" s="87"/>
      <c r="AI688" s="87"/>
      <c r="AJ688" s="87"/>
      <c r="AK688" s="87"/>
      <c r="AL688" s="87"/>
      <c r="AM688" s="87"/>
      <c r="AN688" s="90" t="s">
        <v>3259</v>
      </c>
      <c r="AO688" s="90" t="s">
        <v>3260</v>
      </c>
      <c r="AP688" s="82"/>
      <c r="AQ688" s="87" t="s">
        <v>59</v>
      </c>
      <c r="AR688" s="87" t="s">
        <v>80</v>
      </c>
      <c r="AS688" s="82"/>
      <c r="AT688" s="87">
        <v>13</v>
      </c>
      <c r="AU688" s="87">
        <v>2</v>
      </c>
      <c r="AV688" s="87">
        <f t="shared" si="103"/>
        <v>15</v>
      </c>
      <c r="AW688" s="87" t="str">
        <f t="shared" si="54"/>
        <v>Horarios Acordes</v>
      </c>
      <c r="AX688" s="87" t="s">
        <v>213</v>
      </c>
      <c r="AY688" s="87"/>
      <c r="AZ688" s="87"/>
      <c r="BA688" s="91" t="s">
        <v>3261</v>
      </c>
      <c r="BB688" s="84"/>
      <c r="BC688" s="85"/>
      <c r="BD688" s="85"/>
    </row>
    <row r="689" spans="1:56" s="86" customFormat="1" ht="46.5" customHeight="1">
      <c r="A689" s="87">
        <v>684</v>
      </c>
      <c r="B689" s="79" t="s">
        <v>3262</v>
      </c>
      <c r="C689" s="88">
        <v>45481</v>
      </c>
      <c r="D689" s="89">
        <v>0.39583333333333331</v>
      </c>
      <c r="E689" s="87" t="s">
        <v>58</v>
      </c>
      <c r="F689" s="87" t="s">
        <v>1184</v>
      </c>
      <c r="G689" s="87" t="s">
        <v>62</v>
      </c>
      <c r="H689" s="90" t="s">
        <v>3263</v>
      </c>
      <c r="I689" s="90" t="s">
        <v>188</v>
      </c>
      <c r="J689" s="87" t="s">
        <v>173</v>
      </c>
      <c r="K689" s="87"/>
      <c r="L689" s="90" t="s">
        <v>3257</v>
      </c>
      <c r="M689" s="91" t="s">
        <v>3264</v>
      </c>
      <c r="N689" s="90" t="s">
        <v>3265</v>
      </c>
      <c r="O689" s="90" t="str">
        <f t="shared" si="79"/>
        <v>Tunjuelito</v>
      </c>
      <c r="P689" s="87" t="s">
        <v>618</v>
      </c>
      <c r="Q689" s="87"/>
      <c r="R689" s="87"/>
      <c r="S689" s="87"/>
      <c r="T689" s="87"/>
      <c r="U689" s="87"/>
      <c r="V689" s="90" t="str">
        <f t="shared" si="82"/>
        <v>Suroriente</v>
      </c>
      <c r="W689" s="87" t="s">
        <v>108</v>
      </c>
      <c r="X689" s="87"/>
      <c r="Y689" s="87"/>
      <c r="Z689" s="87"/>
      <c r="AA689" s="87"/>
      <c r="AB689" s="87"/>
      <c r="AC689" s="90" t="str">
        <f t="shared" si="83"/>
        <v>Tunjuelito</v>
      </c>
      <c r="AD689" s="87" t="s">
        <v>618</v>
      </c>
      <c r="AE689" s="87"/>
      <c r="AF689" s="87"/>
      <c r="AG689" s="87"/>
      <c r="AH689" s="87"/>
      <c r="AI689" s="87"/>
      <c r="AJ689" s="87"/>
      <c r="AK689" s="87"/>
      <c r="AL689" s="87"/>
      <c r="AM689" s="87"/>
      <c r="AN689" s="90" t="s">
        <v>3266</v>
      </c>
      <c r="AO689" s="90" t="s">
        <v>3267</v>
      </c>
      <c r="AP689" s="82"/>
      <c r="AQ689" s="87" t="s">
        <v>59</v>
      </c>
      <c r="AR689" s="87" t="s">
        <v>80</v>
      </c>
      <c r="AS689" s="82"/>
      <c r="AT689" s="87">
        <v>12</v>
      </c>
      <c r="AU689" s="87">
        <v>3</v>
      </c>
      <c r="AV689" s="87">
        <f t="shared" si="103"/>
        <v>15</v>
      </c>
      <c r="AW689" s="87" t="str">
        <f t="shared" si="54"/>
        <v>Horarios Acordes</v>
      </c>
      <c r="AX689" s="87" t="s">
        <v>213</v>
      </c>
      <c r="AY689" s="87"/>
      <c r="AZ689" s="87"/>
      <c r="BA689" s="91" t="s">
        <v>3268</v>
      </c>
      <c r="BB689" s="84"/>
      <c r="BC689" s="85"/>
      <c r="BD689" s="85"/>
    </row>
    <row r="690" spans="1:56" s="86" customFormat="1" ht="46.5" customHeight="1">
      <c r="A690" s="78">
        <v>685</v>
      </c>
      <c r="B690" s="79" t="s">
        <v>3269</v>
      </c>
      <c r="C690" s="88">
        <v>45481</v>
      </c>
      <c r="D690" s="89">
        <v>0.58333333333333337</v>
      </c>
      <c r="E690" s="87" t="s">
        <v>58</v>
      </c>
      <c r="F690" s="87" t="s">
        <v>2680</v>
      </c>
      <c r="G690" s="87" t="s">
        <v>62</v>
      </c>
      <c r="H690" s="90" t="s">
        <v>3270</v>
      </c>
      <c r="I690" s="90" t="s">
        <v>128</v>
      </c>
      <c r="J690" s="87" t="s">
        <v>119</v>
      </c>
      <c r="K690" s="87" t="s">
        <v>610</v>
      </c>
      <c r="L690" s="90" t="s">
        <v>3271</v>
      </c>
      <c r="M690" s="91" t="s">
        <v>3272</v>
      </c>
      <c r="N690" s="90" t="s">
        <v>3273</v>
      </c>
      <c r="O690" s="90" t="str">
        <f t="shared" si="79"/>
        <v>San Cristóbal</v>
      </c>
      <c r="P690" s="87" t="s">
        <v>370</v>
      </c>
      <c r="Q690" s="87"/>
      <c r="R690" s="87"/>
      <c r="S690" s="87"/>
      <c r="T690" s="87"/>
      <c r="U690" s="87"/>
      <c r="V690" s="90" t="str">
        <f t="shared" si="82"/>
        <v>Suroriente</v>
      </c>
      <c r="W690" s="87" t="s">
        <v>108</v>
      </c>
      <c r="X690" s="87"/>
      <c r="Y690" s="87"/>
      <c r="Z690" s="87"/>
      <c r="AA690" s="87"/>
      <c r="AB690" s="87"/>
      <c r="AC690" s="90" t="str">
        <f t="shared" si="83"/>
        <v>San Cristobal</v>
      </c>
      <c r="AD690" s="87" t="s">
        <v>371</v>
      </c>
      <c r="AE690" s="87"/>
      <c r="AF690" s="87"/>
      <c r="AG690" s="87"/>
      <c r="AH690" s="87"/>
      <c r="AI690" s="87"/>
      <c r="AJ690" s="87"/>
      <c r="AK690" s="87"/>
      <c r="AL690" s="87"/>
      <c r="AM690" s="87"/>
      <c r="AN690" s="90" t="s">
        <v>160</v>
      </c>
      <c r="AO690" s="90" t="s">
        <v>3274</v>
      </c>
      <c r="AP690" s="82"/>
      <c r="AQ690" s="87" t="s">
        <v>59</v>
      </c>
      <c r="AR690" s="87" t="s">
        <v>80</v>
      </c>
      <c r="AS690" s="82"/>
      <c r="AT690" s="87">
        <v>9</v>
      </c>
      <c r="AU690" s="87">
        <v>1</v>
      </c>
      <c r="AV690" s="87">
        <f t="shared" si="103"/>
        <v>10</v>
      </c>
      <c r="AW690" s="87" t="str">
        <f t="shared" si="54"/>
        <v>Ninguna</v>
      </c>
      <c r="AX690" s="87" t="s">
        <v>75</v>
      </c>
      <c r="AY690" s="87"/>
      <c r="AZ690" s="87"/>
      <c r="BA690" s="91" t="s">
        <v>3152</v>
      </c>
      <c r="BB690" s="84"/>
      <c r="BC690" s="85"/>
      <c r="BD690" s="85"/>
    </row>
    <row r="691" spans="1:56" s="86" customFormat="1" ht="46.5" customHeight="1">
      <c r="A691" s="87">
        <v>686</v>
      </c>
      <c r="B691" s="79" t="s">
        <v>3275</v>
      </c>
      <c r="C691" s="88">
        <v>45481</v>
      </c>
      <c r="D691" s="89">
        <v>0.58333333333333337</v>
      </c>
      <c r="E691" s="87" t="s">
        <v>58</v>
      </c>
      <c r="F691" s="87" t="s">
        <v>2121</v>
      </c>
      <c r="G691" s="87" t="s">
        <v>62</v>
      </c>
      <c r="H691" s="90" t="s">
        <v>3276</v>
      </c>
      <c r="I691" s="90" t="s">
        <v>188</v>
      </c>
      <c r="J691" s="87" t="s">
        <v>173</v>
      </c>
      <c r="K691" s="87"/>
      <c r="L691" s="90" t="s">
        <v>3277</v>
      </c>
      <c r="M691" s="91" t="s">
        <v>3278</v>
      </c>
      <c r="N691" s="90" t="s">
        <v>3228</v>
      </c>
      <c r="O691" s="90" t="str">
        <f t="shared" si="79"/>
        <v>Tunjuelito</v>
      </c>
      <c r="P691" s="87" t="s">
        <v>618</v>
      </c>
      <c r="Q691" s="87"/>
      <c r="R691" s="87"/>
      <c r="S691" s="87"/>
      <c r="T691" s="87"/>
      <c r="U691" s="87"/>
      <c r="V691" s="90" t="str">
        <f t="shared" si="82"/>
        <v>Suroriente</v>
      </c>
      <c r="W691" s="87" t="s">
        <v>108</v>
      </c>
      <c r="X691" s="87"/>
      <c r="Y691" s="87"/>
      <c r="Z691" s="87"/>
      <c r="AA691" s="87"/>
      <c r="AB691" s="87"/>
      <c r="AC691" s="90" t="str">
        <f t="shared" si="83"/>
        <v>Tunjuelito</v>
      </c>
      <c r="AD691" s="87" t="s">
        <v>618</v>
      </c>
      <c r="AE691" s="87"/>
      <c r="AF691" s="87"/>
      <c r="AG691" s="87"/>
      <c r="AH691" s="87"/>
      <c r="AI691" s="87"/>
      <c r="AJ691" s="87"/>
      <c r="AK691" s="87"/>
      <c r="AL691" s="87"/>
      <c r="AM691" s="87"/>
      <c r="AN691" s="90" t="s">
        <v>618</v>
      </c>
      <c r="AO691" s="90" t="s">
        <v>3279</v>
      </c>
      <c r="AP691" s="82"/>
      <c r="AQ691" s="87" t="s">
        <v>59</v>
      </c>
      <c r="AR691" s="87" t="s">
        <v>80</v>
      </c>
      <c r="AS691" s="82"/>
      <c r="AT691" s="87">
        <v>8</v>
      </c>
      <c r="AU691" s="87">
        <v>2</v>
      </c>
      <c r="AV691" s="87">
        <f t="shared" si="103"/>
        <v>10</v>
      </c>
      <c r="AW691" s="87" t="str">
        <f t="shared" si="54"/>
        <v>Horarios Acordes</v>
      </c>
      <c r="AX691" s="87" t="s">
        <v>213</v>
      </c>
      <c r="AY691" s="87"/>
      <c r="AZ691" s="87"/>
      <c r="BA691" s="91" t="s">
        <v>3280</v>
      </c>
      <c r="BB691" s="84"/>
      <c r="BC691" s="85"/>
      <c r="BD691" s="85"/>
    </row>
    <row r="692" spans="1:56" s="86" customFormat="1" ht="46.5" customHeight="1">
      <c r="A692" s="78">
        <v>687</v>
      </c>
      <c r="B692" s="79" t="s">
        <v>3281</v>
      </c>
      <c r="C692" s="88">
        <v>45481</v>
      </c>
      <c r="D692" s="89">
        <v>0.625</v>
      </c>
      <c r="E692" s="87" t="s">
        <v>58</v>
      </c>
      <c r="F692" s="87" t="s">
        <v>2680</v>
      </c>
      <c r="G692" s="87" t="s">
        <v>62</v>
      </c>
      <c r="H692" s="90" t="s">
        <v>3282</v>
      </c>
      <c r="I692" s="90" t="s">
        <v>128</v>
      </c>
      <c r="J692" s="87" t="s">
        <v>173</v>
      </c>
      <c r="K692" s="87"/>
      <c r="L692" s="90" t="s">
        <v>3283</v>
      </c>
      <c r="M692" s="91" t="s">
        <v>3284</v>
      </c>
      <c r="N692" s="90" t="s">
        <v>3285</v>
      </c>
      <c r="O692" s="90" t="str">
        <f>_xlfn.TEXTJOIN(", ",TRUE,$P692:$T692)</f>
        <v>Tunjuelito</v>
      </c>
      <c r="P692" s="87" t="s">
        <v>618</v>
      </c>
      <c r="Q692" s="87"/>
      <c r="R692" s="87"/>
      <c r="S692" s="87"/>
      <c r="T692" s="87"/>
      <c r="U692" s="87"/>
      <c r="V692" s="90" t="str">
        <f t="shared" si="82"/>
        <v>Suroriente</v>
      </c>
      <c r="W692" s="87" t="s">
        <v>108</v>
      </c>
      <c r="X692" s="87"/>
      <c r="Y692" s="87"/>
      <c r="Z692" s="87"/>
      <c r="AA692" s="87"/>
      <c r="AB692" s="87"/>
      <c r="AC692" s="90" t="str">
        <f>_xlfn.TEXTJOIN(", ",TRUE,$AD692:$AM692)</f>
        <v>Tunjuelito</v>
      </c>
      <c r="AD692" s="87" t="s">
        <v>618</v>
      </c>
      <c r="AE692" s="87"/>
      <c r="AF692" s="87"/>
      <c r="AG692" s="87"/>
      <c r="AH692" s="87"/>
      <c r="AI692" s="87"/>
      <c r="AJ692" s="87"/>
      <c r="AK692" s="87"/>
      <c r="AL692" s="87"/>
      <c r="AM692" s="87"/>
      <c r="AN692" s="90" t="s">
        <v>3259</v>
      </c>
      <c r="AO692" s="90" t="s">
        <v>3260</v>
      </c>
      <c r="AP692" s="82"/>
      <c r="AQ692" s="87" t="s">
        <v>59</v>
      </c>
      <c r="AR692" s="87" t="s">
        <v>80</v>
      </c>
      <c r="AS692" s="82"/>
      <c r="AT692" s="87">
        <v>3</v>
      </c>
      <c r="AU692" s="87">
        <v>3</v>
      </c>
      <c r="AV692" s="87">
        <f>AT692+AU692</f>
        <v>6</v>
      </c>
      <c r="AW692" s="87" t="str">
        <f>_xlfn.TEXTJOIN(", ",TRUE,$AX692:$AZ692)</f>
        <v>Horarios Acordes</v>
      </c>
      <c r="AX692" s="87" t="s">
        <v>213</v>
      </c>
      <c r="AY692" s="87"/>
      <c r="AZ692" s="87"/>
      <c r="BA692" s="91" t="s">
        <v>3286</v>
      </c>
      <c r="BB692" s="84"/>
      <c r="BC692" s="85"/>
      <c r="BD692" s="85"/>
    </row>
    <row r="693" spans="1:56" s="86" customFormat="1" ht="46.5" customHeight="1">
      <c r="A693" s="87">
        <v>688</v>
      </c>
      <c r="B693" s="79" t="s">
        <v>3287</v>
      </c>
      <c r="C693" s="88">
        <v>45481</v>
      </c>
      <c r="D693" s="89">
        <v>0.625</v>
      </c>
      <c r="E693" s="87" t="s">
        <v>58</v>
      </c>
      <c r="F693" s="87" t="s">
        <v>1184</v>
      </c>
      <c r="G693" s="87" t="s">
        <v>62</v>
      </c>
      <c r="H693" s="90" t="s">
        <v>3288</v>
      </c>
      <c r="I693" s="90" t="s">
        <v>188</v>
      </c>
      <c r="J693" s="87" t="s">
        <v>70</v>
      </c>
      <c r="K693" s="87" t="s">
        <v>71</v>
      </c>
      <c r="L693" s="90" t="s">
        <v>3289</v>
      </c>
      <c r="M693" s="91" t="s">
        <v>3290</v>
      </c>
      <c r="N693" s="90" t="s">
        <v>3291</v>
      </c>
      <c r="O693" s="90" t="str">
        <f t="shared" ref="O693" si="104">_xlfn.TEXTJOIN(", ",TRUE,$P693:$T693)</f>
        <v>Tunjuelito</v>
      </c>
      <c r="P693" s="87" t="s">
        <v>618</v>
      </c>
      <c r="Q693" s="87"/>
      <c r="R693" s="87"/>
      <c r="S693" s="87"/>
      <c r="T693" s="87"/>
      <c r="U693" s="87"/>
      <c r="V693" s="90" t="str">
        <f t="shared" si="82"/>
        <v>Suroriente</v>
      </c>
      <c r="W693" s="87" t="s">
        <v>108</v>
      </c>
      <c r="X693" s="87"/>
      <c r="Y693" s="87"/>
      <c r="Z693" s="87"/>
      <c r="AA693" s="87"/>
      <c r="AB693" s="87"/>
      <c r="AC693" s="90" t="str">
        <f t="shared" ref="AC693" si="105">_xlfn.TEXTJOIN(", ",TRUE,$AD693:$AM693)</f>
        <v>Tunjuelito</v>
      </c>
      <c r="AD693" s="87" t="s">
        <v>618</v>
      </c>
      <c r="AE693" s="87"/>
      <c r="AF693" s="87"/>
      <c r="AG693" s="87"/>
      <c r="AH693" s="87"/>
      <c r="AI693" s="87"/>
      <c r="AJ693" s="87"/>
      <c r="AK693" s="87"/>
      <c r="AL693" s="87"/>
      <c r="AM693" s="87"/>
      <c r="AN693" s="90" t="s">
        <v>3266</v>
      </c>
      <c r="AO693" s="90" t="s">
        <v>3267</v>
      </c>
      <c r="AP693" s="82"/>
      <c r="AQ693" s="87" t="s">
        <v>59</v>
      </c>
      <c r="AR693" s="87" t="s">
        <v>80</v>
      </c>
      <c r="AS693" s="82"/>
      <c r="AT693" s="87">
        <v>3</v>
      </c>
      <c r="AU693" s="87">
        <v>3</v>
      </c>
      <c r="AV693" s="87">
        <f t="shared" ref="AV693" si="106">AT693+AU693</f>
        <v>6</v>
      </c>
      <c r="AW693" s="87" t="str">
        <f t="shared" si="54"/>
        <v>Horarios Acordes</v>
      </c>
      <c r="AX693" s="87" t="s">
        <v>213</v>
      </c>
      <c r="AY693" s="87"/>
      <c r="AZ693" s="87"/>
      <c r="BA693" s="91" t="s">
        <v>3292</v>
      </c>
      <c r="BB693" s="84"/>
      <c r="BC693" s="85"/>
      <c r="BD693" s="85"/>
    </row>
    <row r="694" spans="1:56" s="86" customFormat="1" ht="46.5" customHeight="1">
      <c r="A694" s="78">
        <v>689</v>
      </c>
      <c r="B694" s="79" t="s">
        <v>3293</v>
      </c>
      <c r="C694" s="88">
        <v>45481</v>
      </c>
      <c r="D694" s="89">
        <v>0.70833333333333337</v>
      </c>
      <c r="E694" s="87" t="s">
        <v>58</v>
      </c>
      <c r="F694" s="87" t="s">
        <v>2680</v>
      </c>
      <c r="G694" s="87" t="s">
        <v>62</v>
      </c>
      <c r="H694" s="90" t="s">
        <v>3294</v>
      </c>
      <c r="I694" s="90" t="s">
        <v>128</v>
      </c>
      <c r="J694" s="87" t="s">
        <v>119</v>
      </c>
      <c r="K694" s="87" t="s">
        <v>120</v>
      </c>
      <c r="L694" s="90" t="s">
        <v>3295</v>
      </c>
      <c r="M694" s="91" t="s">
        <v>3296</v>
      </c>
      <c r="N694" s="90" t="s">
        <v>3042</v>
      </c>
      <c r="O694" s="90" t="str">
        <f>_xlfn.TEXTJOIN(", ",TRUE,$P694:$T694)</f>
        <v>Suba</v>
      </c>
      <c r="P694" s="87" t="s">
        <v>394</v>
      </c>
      <c r="Q694" s="87"/>
      <c r="R694" s="87"/>
      <c r="S694" s="87"/>
      <c r="T694" s="87"/>
      <c r="U694" s="87"/>
      <c r="V694" s="90" t="str">
        <f>_xlfn.TEXTJOIN(", ",TRUE,$W694:$AB694)</f>
        <v>Norte</v>
      </c>
      <c r="W694" s="87" t="s">
        <v>429</v>
      </c>
      <c r="X694" s="87"/>
      <c r="Y694" s="87"/>
      <c r="Z694" s="87"/>
      <c r="AA694" s="87"/>
      <c r="AB694" s="87"/>
      <c r="AC694" s="90" t="str">
        <f>_xlfn.TEXTJOIN(", ",TRUE,$AD694:$AM694)</f>
        <v>Suba, Suba Rincón, Tibabuyes, Niza, Britalia, Torca</v>
      </c>
      <c r="AD694" s="87" t="s">
        <v>394</v>
      </c>
      <c r="AE694" s="87" t="s">
        <v>396</v>
      </c>
      <c r="AF694" s="87" t="s">
        <v>924</v>
      </c>
      <c r="AG694" s="87" t="s">
        <v>571</v>
      </c>
      <c r="AH694" s="87" t="s">
        <v>876</v>
      </c>
      <c r="AI694" s="87" t="s">
        <v>528</v>
      </c>
      <c r="AJ694" s="87"/>
      <c r="AK694" s="87"/>
      <c r="AL694" s="87"/>
      <c r="AM694" s="87"/>
      <c r="AN694" s="90" t="s">
        <v>3297</v>
      </c>
      <c r="AO694" s="90" t="s">
        <v>3298</v>
      </c>
      <c r="AP694" s="82"/>
      <c r="AQ694" s="87" t="s">
        <v>59</v>
      </c>
      <c r="AR694" s="87" t="s">
        <v>80</v>
      </c>
      <c r="AS694" s="82"/>
      <c r="AT694" s="87">
        <v>10</v>
      </c>
      <c r="AU694" s="87">
        <v>1</v>
      </c>
      <c r="AV694" s="87">
        <f>AT694+AU694</f>
        <v>11</v>
      </c>
      <c r="AW694" s="87" t="str">
        <f>_xlfn.TEXTJOIN(", ",TRUE,$AX694:$AZ694)</f>
        <v>Horarios Acordes</v>
      </c>
      <c r="AX694" s="87" t="s">
        <v>213</v>
      </c>
      <c r="AY694" s="87"/>
      <c r="AZ694" s="87"/>
      <c r="BA694" s="91" t="s">
        <v>3299</v>
      </c>
      <c r="BB694" s="84"/>
      <c r="BC694" s="85"/>
      <c r="BD694" s="85"/>
    </row>
    <row r="695" spans="1:56" s="86" customFormat="1" ht="46.5" customHeight="1">
      <c r="A695" s="87">
        <v>690</v>
      </c>
      <c r="B695" s="79" t="s">
        <v>3300</v>
      </c>
      <c r="C695" s="88">
        <v>45481</v>
      </c>
      <c r="D695" s="89">
        <v>0.72916666666666663</v>
      </c>
      <c r="E695" s="87" t="s">
        <v>58</v>
      </c>
      <c r="F695" s="87" t="s">
        <v>2680</v>
      </c>
      <c r="G695" s="87" t="s">
        <v>62</v>
      </c>
      <c r="H695" s="90" t="s">
        <v>3301</v>
      </c>
      <c r="I695" s="90" t="s">
        <v>128</v>
      </c>
      <c r="J695" s="87" t="s">
        <v>119</v>
      </c>
      <c r="K695" s="87" t="s">
        <v>120</v>
      </c>
      <c r="L695" s="90" t="s">
        <v>3302</v>
      </c>
      <c r="M695" s="91" t="s">
        <v>3303</v>
      </c>
      <c r="N695" s="90" t="s">
        <v>72</v>
      </c>
      <c r="O695" s="90" t="str">
        <f>_xlfn.TEXTJOIN(", ",TRUE,$P695:$T695)</f>
        <v>Suba</v>
      </c>
      <c r="P695" s="87" t="s">
        <v>394</v>
      </c>
      <c r="Q695" s="87"/>
      <c r="R695" s="87"/>
      <c r="S695" s="87"/>
      <c r="T695" s="87"/>
      <c r="U695" s="87"/>
      <c r="V695" s="90" t="str">
        <f>_xlfn.TEXTJOIN(", ",TRUE,$W695:$AB695)</f>
        <v>Noroccidente</v>
      </c>
      <c r="W695" s="87" t="s">
        <v>395</v>
      </c>
      <c r="X695" s="87"/>
      <c r="Y695" s="87"/>
      <c r="Z695" s="87"/>
      <c r="AA695" s="87"/>
      <c r="AB695" s="87"/>
      <c r="AC695" s="90" t="str">
        <f>_xlfn.TEXTJOIN(", ",TRUE,$AD695:$AM695)</f>
        <v>Suba, Suba Rincón, Tibabuyes, Niza, Britalia, Torca</v>
      </c>
      <c r="AD695" s="87" t="s">
        <v>394</v>
      </c>
      <c r="AE695" s="87" t="s">
        <v>396</v>
      </c>
      <c r="AF695" s="87" t="s">
        <v>924</v>
      </c>
      <c r="AG695" s="87" t="s">
        <v>571</v>
      </c>
      <c r="AH695" s="87" t="s">
        <v>876</v>
      </c>
      <c r="AI695" s="87" t="s">
        <v>528</v>
      </c>
      <c r="AJ695" s="87"/>
      <c r="AK695" s="87"/>
      <c r="AL695" s="87"/>
      <c r="AM695" s="87"/>
      <c r="AN695" s="90" t="s">
        <v>160</v>
      </c>
      <c r="AO695" s="90" t="s">
        <v>3304</v>
      </c>
      <c r="AP695" s="82"/>
      <c r="AQ695" s="87" t="s">
        <v>59</v>
      </c>
      <c r="AR695" s="87" t="s">
        <v>80</v>
      </c>
      <c r="AS695" s="82"/>
      <c r="AT695" s="87">
        <v>18</v>
      </c>
      <c r="AU695" s="87">
        <v>4</v>
      </c>
      <c r="AV695" s="87">
        <f>AT695+AU695</f>
        <v>22</v>
      </c>
      <c r="AW695" s="87" t="str">
        <f>_xlfn.TEXTJOIN(", ",TRUE,$AX695:$AZ695)</f>
        <v>Ninguna</v>
      </c>
      <c r="AX695" s="87" t="s">
        <v>75</v>
      </c>
      <c r="AY695" s="87"/>
      <c r="AZ695" s="87"/>
      <c r="BA695" s="91" t="s">
        <v>3305</v>
      </c>
      <c r="BB695" s="84"/>
      <c r="BC695" s="85"/>
      <c r="BD695" s="85"/>
    </row>
    <row r="696" spans="1:56" s="86" customFormat="1" ht="46.5" customHeight="1">
      <c r="A696" s="78">
        <v>691</v>
      </c>
      <c r="B696" s="79" t="s">
        <v>3306</v>
      </c>
      <c r="C696" s="88">
        <v>45481</v>
      </c>
      <c r="D696" s="89">
        <v>0.75</v>
      </c>
      <c r="E696" s="87" t="s">
        <v>58</v>
      </c>
      <c r="F696" s="87" t="s">
        <v>2121</v>
      </c>
      <c r="G696" s="87" t="s">
        <v>62</v>
      </c>
      <c r="H696" s="90" t="s">
        <v>3307</v>
      </c>
      <c r="I696" s="90" t="s">
        <v>188</v>
      </c>
      <c r="J696" s="87" t="s">
        <v>119</v>
      </c>
      <c r="K696" s="87" t="s">
        <v>120</v>
      </c>
      <c r="L696" s="90" t="s">
        <v>3308</v>
      </c>
      <c r="M696" s="91" t="s">
        <v>3296</v>
      </c>
      <c r="N696" s="90" t="s">
        <v>72</v>
      </c>
      <c r="O696" s="90" t="str">
        <f t="shared" ref="O696:O698" si="107">_xlfn.TEXTJOIN(", ",TRUE,$P696:$T696)</f>
        <v>Suba</v>
      </c>
      <c r="P696" s="87" t="s">
        <v>394</v>
      </c>
      <c r="Q696" s="87"/>
      <c r="R696" s="87"/>
      <c r="S696" s="87"/>
      <c r="T696" s="87"/>
      <c r="U696" s="87"/>
      <c r="V696" s="90" t="str">
        <f>_xlfn.TEXTJOIN(", ",TRUE,$W696:$AB696)</f>
        <v>Norte</v>
      </c>
      <c r="W696" s="87" t="s">
        <v>429</v>
      </c>
      <c r="X696" s="87"/>
      <c r="Y696" s="87"/>
      <c r="Z696" s="87"/>
      <c r="AA696" s="87"/>
      <c r="AB696" s="87"/>
      <c r="AC696" s="90" t="str">
        <f>_xlfn.TEXTJOIN(", ",TRUE,$AD696:$AM696)</f>
        <v>Suba, Suba Rincón, Tibabuyes, Niza, Britalia, Torca</v>
      </c>
      <c r="AD696" s="87" t="s">
        <v>394</v>
      </c>
      <c r="AE696" s="87" t="s">
        <v>396</v>
      </c>
      <c r="AF696" s="87" t="s">
        <v>924</v>
      </c>
      <c r="AG696" s="87" t="s">
        <v>571</v>
      </c>
      <c r="AH696" s="87" t="s">
        <v>876</v>
      </c>
      <c r="AI696" s="87" t="s">
        <v>528</v>
      </c>
      <c r="AJ696" s="87"/>
      <c r="AK696" s="87"/>
      <c r="AL696" s="87"/>
      <c r="AM696" s="87"/>
      <c r="AN696" s="90" t="s">
        <v>160</v>
      </c>
      <c r="AO696" s="90" t="s">
        <v>3309</v>
      </c>
      <c r="AP696" s="82"/>
      <c r="AQ696" s="87" t="s">
        <v>59</v>
      </c>
      <c r="AR696" s="87" t="s">
        <v>80</v>
      </c>
      <c r="AS696" s="82"/>
      <c r="AT696" s="87">
        <v>10</v>
      </c>
      <c r="AU696" s="87">
        <v>1</v>
      </c>
      <c r="AV696" s="87">
        <f t="shared" ref="AV696:AV698" si="108">AT696+AU696</f>
        <v>11</v>
      </c>
      <c r="AW696" s="87" t="str">
        <f t="shared" si="54"/>
        <v>Horarios Acordes</v>
      </c>
      <c r="AX696" s="87" t="s">
        <v>213</v>
      </c>
      <c r="AY696" s="87"/>
      <c r="AZ696" s="87"/>
      <c r="BA696" s="91" t="s">
        <v>3310</v>
      </c>
      <c r="BB696" s="84"/>
      <c r="BC696" s="85"/>
      <c r="BD696" s="85"/>
    </row>
    <row r="697" spans="1:56" s="86" customFormat="1" ht="55.5" customHeight="1">
      <c r="A697" s="87">
        <v>692</v>
      </c>
      <c r="B697" s="79" t="s">
        <v>3311</v>
      </c>
      <c r="C697" s="88">
        <v>45481</v>
      </c>
      <c r="D697" s="89">
        <v>0.75</v>
      </c>
      <c r="E697" s="87" t="s">
        <v>58</v>
      </c>
      <c r="F697" s="87" t="s">
        <v>1184</v>
      </c>
      <c r="G697" s="87" t="s">
        <v>62</v>
      </c>
      <c r="H697" s="90" t="s">
        <v>3312</v>
      </c>
      <c r="I697" s="90" t="s">
        <v>188</v>
      </c>
      <c r="J697" s="87" t="s">
        <v>119</v>
      </c>
      <c r="K697" s="87" t="s">
        <v>217</v>
      </c>
      <c r="L697" s="90" t="s">
        <v>3302</v>
      </c>
      <c r="M697" s="91" t="s">
        <v>3313</v>
      </c>
      <c r="N697" s="90" t="s">
        <v>72</v>
      </c>
      <c r="O697" s="90" t="str">
        <f t="shared" si="107"/>
        <v>Suba</v>
      </c>
      <c r="P697" s="87" t="s">
        <v>394</v>
      </c>
      <c r="Q697" s="87"/>
      <c r="R697" s="87"/>
      <c r="S697" s="87"/>
      <c r="T697" s="87"/>
      <c r="U697" s="87"/>
      <c r="V697" s="90" t="str">
        <f>_xlfn.TEXTJOIN(", ",TRUE,$W697:$AB697)</f>
        <v>Norte</v>
      </c>
      <c r="W697" s="87" t="s">
        <v>429</v>
      </c>
      <c r="X697" s="87"/>
      <c r="Y697" s="87"/>
      <c r="Z697" s="87"/>
      <c r="AA697" s="87"/>
      <c r="AB697" s="87"/>
      <c r="AC697" s="90" t="str">
        <f>_xlfn.TEXTJOIN(", ",TRUE,$AD697:$AM697)</f>
        <v>Niza, Britalia, Torca</v>
      </c>
      <c r="AD697" s="87" t="s">
        <v>571</v>
      </c>
      <c r="AE697" s="87" t="s">
        <v>876</v>
      </c>
      <c r="AF697" s="87" t="s">
        <v>528</v>
      </c>
      <c r="AG697" s="87"/>
      <c r="AH697" s="87"/>
      <c r="AI697" s="87"/>
      <c r="AJ697" s="87"/>
      <c r="AK697" s="87"/>
      <c r="AL697" s="87"/>
      <c r="AM697" s="87"/>
      <c r="AN697" s="90" t="s">
        <v>160</v>
      </c>
      <c r="AO697" s="90" t="s">
        <v>3314</v>
      </c>
      <c r="AP697" s="82"/>
      <c r="AQ697" s="87" t="s">
        <v>59</v>
      </c>
      <c r="AR697" s="87" t="s">
        <v>80</v>
      </c>
      <c r="AS697" s="82"/>
      <c r="AT697" s="87">
        <v>18</v>
      </c>
      <c r="AU697" s="87">
        <v>4</v>
      </c>
      <c r="AV697" s="87">
        <f t="shared" si="108"/>
        <v>22</v>
      </c>
      <c r="AW697" s="87" t="str">
        <f t="shared" si="54"/>
        <v>Horarios Acordes</v>
      </c>
      <c r="AX697" s="87" t="s">
        <v>213</v>
      </c>
      <c r="AY697" s="87"/>
      <c r="AZ697" s="87"/>
      <c r="BA697" s="91" t="s">
        <v>3315</v>
      </c>
      <c r="BB697" s="84"/>
      <c r="BC697" s="85"/>
      <c r="BD697" s="85"/>
    </row>
    <row r="698" spans="1:56" s="86" customFormat="1" ht="55.5" customHeight="1">
      <c r="A698" s="78">
        <v>693</v>
      </c>
      <c r="B698" s="79" t="s">
        <v>3316</v>
      </c>
      <c r="C698" s="88">
        <v>45481</v>
      </c>
      <c r="D698" s="89">
        <v>0.77083333333333337</v>
      </c>
      <c r="E698" s="87" t="s">
        <v>93</v>
      </c>
      <c r="F698" s="87" t="s">
        <v>102</v>
      </c>
      <c r="G698" s="87" t="s">
        <v>95</v>
      </c>
      <c r="H698" s="90" t="s">
        <v>3317</v>
      </c>
      <c r="I698" s="90" t="s">
        <v>118</v>
      </c>
      <c r="J698" s="87" t="s">
        <v>119</v>
      </c>
      <c r="K698" s="87" t="s">
        <v>129</v>
      </c>
      <c r="L698" s="90" t="s">
        <v>881</v>
      </c>
      <c r="M698" s="91" t="s">
        <v>2835</v>
      </c>
      <c r="N698" s="90" t="s">
        <v>883</v>
      </c>
      <c r="O698" s="90" t="str">
        <f t="shared" si="107"/>
        <v>Distrital</v>
      </c>
      <c r="P698" s="87" t="s">
        <v>73</v>
      </c>
      <c r="Q698" s="87"/>
      <c r="R698" s="87"/>
      <c r="S698" s="87"/>
      <c r="T698" s="87"/>
      <c r="U698" s="87"/>
      <c r="V698" s="90" t="str">
        <f t="shared" ref="V698" si="109">_xlfn.TEXTJOIN(", ",TRUE,$W698:$AB698)</f>
        <v>Distrital</v>
      </c>
      <c r="W698" s="87" t="s">
        <v>73</v>
      </c>
      <c r="X698" s="87"/>
      <c r="Y698" s="87"/>
      <c r="Z698" s="87"/>
      <c r="AA698" s="87"/>
      <c r="AB698" s="87"/>
      <c r="AC698" s="90" t="str">
        <f t="shared" ref="AC698" si="110">_xlfn.TEXTJOIN(", ",TRUE,$AD698:$AM698)</f>
        <v>Distrital</v>
      </c>
      <c r="AD698" s="87" t="s">
        <v>73</v>
      </c>
      <c r="AE698" s="87"/>
      <c r="AF698" s="87"/>
      <c r="AG698" s="87"/>
      <c r="AH698" s="87"/>
      <c r="AI698" s="87"/>
      <c r="AJ698" s="87"/>
      <c r="AK698" s="87"/>
      <c r="AL698" s="87"/>
      <c r="AM698" s="87"/>
      <c r="AN698" s="90" t="s">
        <v>160</v>
      </c>
      <c r="AO698" s="102" t="s">
        <v>2638</v>
      </c>
      <c r="AP698" s="82"/>
      <c r="AQ698" s="87" t="s">
        <v>59</v>
      </c>
      <c r="AR698" s="87" t="s">
        <v>80</v>
      </c>
      <c r="AS698" s="82"/>
      <c r="AT698" s="87">
        <v>7</v>
      </c>
      <c r="AU698" s="87">
        <v>1</v>
      </c>
      <c r="AV698" s="87">
        <f t="shared" si="108"/>
        <v>8</v>
      </c>
      <c r="AW698" s="87" t="str">
        <f t="shared" si="54"/>
        <v>Ninguna</v>
      </c>
      <c r="AX698" s="87" t="s">
        <v>75</v>
      </c>
      <c r="AY698" s="87"/>
      <c r="AZ698" s="87"/>
      <c r="BA698" s="91" t="s">
        <v>3318</v>
      </c>
      <c r="BB698" s="84"/>
      <c r="BC698" s="85"/>
      <c r="BD698" s="85"/>
    </row>
    <row r="699" spans="1:56" s="86" customFormat="1" ht="46.5" customHeight="1">
      <c r="A699" s="87">
        <v>694</v>
      </c>
      <c r="B699" s="79" t="s">
        <v>3319</v>
      </c>
      <c r="C699" s="88">
        <v>45481</v>
      </c>
      <c r="D699" s="89">
        <v>0.79166666666666663</v>
      </c>
      <c r="E699" s="87" t="s">
        <v>58</v>
      </c>
      <c r="F699" s="87" t="s">
        <v>1184</v>
      </c>
      <c r="G699" s="87" t="s">
        <v>62</v>
      </c>
      <c r="H699" s="90" t="s">
        <v>3320</v>
      </c>
      <c r="I699" s="90" t="s">
        <v>188</v>
      </c>
      <c r="J699" s="87" t="s">
        <v>119</v>
      </c>
      <c r="K699" s="87" t="s">
        <v>217</v>
      </c>
      <c r="L699" s="90" t="s">
        <v>2925</v>
      </c>
      <c r="M699" s="91" t="s">
        <v>2926</v>
      </c>
      <c r="N699" s="90" t="s">
        <v>72</v>
      </c>
      <c r="O699" s="90" t="str">
        <f>_xlfn.TEXTJOIN(", ",TRUE,$P699:$T699)</f>
        <v>Suba</v>
      </c>
      <c r="P699" s="87" t="s">
        <v>394</v>
      </c>
      <c r="Q699" s="87"/>
      <c r="R699" s="87"/>
      <c r="S699" s="87"/>
      <c r="T699" s="87"/>
      <c r="U699" s="87"/>
      <c r="V699" s="90" t="str">
        <f>_xlfn.TEXTJOIN(", ",TRUE,$W699:$AB699)</f>
        <v>Noroccidente</v>
      </c>
      <c r="W699" s="87" t="s">
        <v>395</v>
      </c>
      <c r="X699" s="87"/>
      <c r="Y699" s="87"/>
      <c r="Z699" s="87"/>
      <c r="AA699" s="87"/>
      <c r="AB699" s="87"/>
      <c r="AC699" s="90" t="str">
        <f>_xlfn.TEXTJOIN(", ",TRUE,$AD699:$AM699)</f>
        <v>Suba, Suba Rincón, Tibabuyes</v>
      </c>
      <c r="AD699" s="87" t="s">
        <v>394</v>
      </c>
      <c r="AE699" s="87" t="s">
        <v>396</v>
      </c>
      <c r="AF699" s="87" t="s">
        <v>924</v>
      </c>
      <c r="AG699" s="87"/>
      <c r="AH699" s="87"/>
      <c r="AI699" s="87"/>
      <c r="AJ699" s="87"/>
      <c r="AK699" s="87"/>
      <c r="AL699" s="87"/>
      <c r="AM699" s="87"/>
      <c r="AN699" s="90" t="s">
        <v>160</v>
      </c>
      <c r="AO699" s="90" t="s">
        <v>3321</v>
      </c>
      <c r="AP699" s="82"/>
      <c r="AQ699" s="87" t="s">
        <v>59</v>
      </c>
      <c r="AR699" s="87" t="s">
        <v>80</v>
      </c>
      <c r="AS699" s="82"/>
      <c r="AT699" s="87">
        <v>18</v>
      </c>
      <c r="AU699" s="87">
        <v>4</v>
      </c>
      <c r="AV699" s="87">
        <f t="shared" ref="AV699" si="111">AT699+AU699</f>
        <v>22</v>
      </c>
      <c r="AW699" s="87" t="str">
        <f>_xlfn.TEXTJOIN(", ",TRUE,$AX699:$AZ699)</f>
        <v>Ninguna</v>
      </c>
      <c r="AX699" s="87" t="s">
        <v>75</v>
      </c>
      <c r="AY699" s="87"/>
      <c r="AZ699" s="87"/>
      <c r="BA699" s="91" t="s">
        <v>3322</v>
      </c>
      <c r="BB699" s="84"/>
      <c r="BC699" s="85"/>
      <c r="BD699" s="85"/>
    </row>
    <row r="700" spans="1:56" s="86" customFormat="1" ht="55.5" customHeight="1">
      <c r="A700" s="78">
        <v>695</v>
      </c>
      <c r="B700" s="79" t="s">
        <v>3323</v>
      </c>
      <c r="C700" s="88">
        <v>45482</v>
      </c>
      <c r="D700" s="89">
        <v>0.33333333333333331</v>
      </c>
      <c r="E700" s="87" t="s">
        <v>58</v>
      </c>
      <c r="F700" s="87" t="s">
        <v>2680</v>
      </c>
      <c r="G700" s="87" t="s">
        <v>62</v>
      </c>
      <c r="H700" s="90" t="s">
        <v>2945</v>
      </c>
      <c r="I700" s="90" t="s">
        <v>128</v>
      </c>
      <c r="J700" s="87" t="s">
        <v>119</v>
      </c>
      <c r="K700" s="87"/>
      <c r="L700" s="90" t="s">
        <v>3324</v>
      </c>
      <c r="M700" s="91" t="s">
        <v>3325</v>
      </c>
      <c r="N700" s="90" t="s">
        <v>3326</v>
      </c>
      <c r="O700" s="90" t="str">
        <f>_xlfn.TEXTJOIN(", ",TRUE,$P700:$T700)</f>
        <v>Fontibón</v>
      </c>
      <c r="P700" s="87" t="s">
        <v>420</v>
      </c>
      <c r="Q700" s="87"/>
      <c r="R700" s="87"/>
      <c r="S700" s="87"/>
      <c r="T700" s="87"/>
      <c r="U700" s="87"/>
      <c r="V700" s="90" t="str">
        <f>_xlfn.TEXTJOIN(", ",TRUE,$W700:$AB700)</f>
        <v>Occidente</v>
      </c>
      <c r="W700" s="87" t="s">
        <v>124</v>
      </c>
      <c r="X700" s="87"/>
      <c r="Y700" s="87"/>
      <c r="Z700" s="87"/>
      <c r="AA700" s="87"/>
      <c r="AB700" s="87"/>
      <c r="AC700" s="90" t="str">
        <f>_xlfn.TEXTJOIN(", ",TRUE,$AD700:$AM700)</f>
        <v>Fontibón, Salitre</v>
      </c>
      <c r="AD700" s="87" t="s">
        <v>420</v>
      </c>
      <c r="AE700" s="87" t="s">
        <v>258</v>
      </c>
      <c r="AF700" s="87"/>
      <c r="AG700" s="87"/>
      <c r="AH700" s="87"/>
      <c r="AI700" s="87"/>
      <c r="AJ700" s="87"/>
      <c r="AK700" s="87"/>
      <c r="AL700" s="87"/>
      <c r="AM700" s="87"/>
      <c r="AN700" s="90" t="s">
        <v>160</v>
      </c>
      <c r="AO700" s="90" t="s">
        <v>3327</v>
      </c>
      <c r="AP700" s="82"/>
      <c r="AQ700" s="87" t="s">
        <v>59</v>
      </c>
      <c r="AR700" s="87" t="s">
        <v>80</v>
      </c>
      <c r="AS700" s="82"/>
      <c r="AT700" s="87">
        <v>1</v>
      </c>
      <c r="AU700" s="87">
        <v>1</v>
      </c>
      <c r="AV700" s="87">
        <f>AT700+AU700</f>
        <v>2</v>
      </c>
      <c r="AW700" s="87" t="str">
        <f>_xlfn.TEXTJOIN(", ",TRUE,$AX700:$AZ700)</f>
        <v>Ninguna</v>
      </c>
      <c r="AX700" s="87" t="s">
        <v>75</v>
      </c>
      <c r="AY700" s="87"/>
      <c r="AZ700" s="87"/>
      <c r="BA700" s="91" t="s">
        <v>3328</v>
      </c>
      <c r="BB700" s="84"/>
      <c r="BC700" s="85"/>
      <c r="BD700" s="85"/>
    </row>
    <row r="701" spans="1:56" s="86" customFormat="1" ht="55.5" customHeight="1">
      <c r="A701" s="87">
        <v>696</v>
      </c>
      <c r="B701" s="79" t="s">
        <v>3329</v>
      </c>
      <c r="C701" s="88">
        <v>45482</v>
      </c>
      <c r="D701" s="89">
        <v>0.375</v>
      </c>
      <c r="E701" s="87" t="s">
        <v>58</v>
      </c>
      <c r="F701" s="87" t="s">
        <v>2680</v>
      </c>
      <c r="G701" s="87" t="s">
        <v>62</v>
      </c>
      <c r="H701" s="90" t="s">
        <v>3330</v>
      </c>
      <c r="I701" s="90" t="s">
        <v>128</v>
      </c>
      <c r="J701" s="87" t="s">
        <v>119</v>
      </c>
      <c r="K701" s="87" t="s">
        <v>217</v>
      </c>
      <c r="L701" s="90" t="s">
        <v>3331</v>
      </c>
      <c r="M701" s="91" t="s">
        <v>3032</v>
      </c>
      <c r="N701" s="90" t="s">
        <v>3332</v>
      </c>
      <c r="O701" s="90" t="str">
        <f t="shared" ref="O701" si="112">_xlfn.TEXTJOIN(", ",TRUE,$P701:$T701)</f>
        <v>Engativá</v>
      </c>
      <c r="P701" s="87" t="s">
        <v>123</v>
      </c>
      <c r="Q701" s="87"/>
      <c r="R701" s="87"/>
      <c r="S701" s="87"/>
      <c r="T701" s="87"/>
      <c r="U701" s="87"/>
      <c r="V701" s="90" t="str">
        <f t="shared" ref="V701" si="113">_xlfn.TEXTJOIN(", ",TRUE,$W701:$AB701)</f>
        <v>Occidente</v>
      </c>
      <c r="W701" s="87" t="s">
        <v>124</v>
      </c>
      <c r="X701" s="87"/>
      <c r="Y701" s="87"/>
      <c r="Z701" s="87"/>
      <c r="AA701" s="87"/>
      <c r="AB701" s="87"/>
      <c r="AC701" s="90" t="str">
        <f t="shared" ref="AC701" si="114">_xlfn.TEXTJOIN(", ",TRUE,$AD701:$AM701)</f>
        <v>Engativá, Tabora, Salitre</v>
      </c>
      <c r="AD701" s="87" t="s">
        <v>123</v>
      </c>
      <c r="AE701" s="87" t="s">
        <v>257</v>
      </c>
      <c r="AF701" s="87" t="s">
        <v>258</v>
      </c>
      <c r="AG701" s="87"/>
      <c r="AH701" s="87"/>
      <c r="AI701" s="87"/>
      <c r="AJ701" s="87"/>
      <c r="AK701" s="87"/>
      <c r="AL701" s="87"/>
      <c r="AM701" s="87"/>
      <c r="AN701" s="90" t="s">
        <v>3333</v>
      </c>
      <c r="AO701" s="90" t="s">
        <v>3334</v>
      </c>
      <c r="AP701" s="82"/>
      <c r="AQ701" s="87" t="s">
        <v>59</v>
      </c>
      <c r="AR701" s="87" t="s">
        <v>80</v>
      </c>
      <c r="AS701" s="82"/>
      <c r="AT701" s="87">
        <v>3</v>
      </c>
      <c r="AU701" s="87">
        <v>1</v>
      </c>
      <c r="AV701" s="87">
        <f t="shared" ref="AV701:AV702" si="115">AT701+AU701</f>
        <v>4</v>
      </c>
      <c r="AW701" s="87" t="str">
        <f t="shared" si="54"/>
        <v>Horarios Acordes</v>
      </c>
      <c r="AX701" s="87" t="s">
        <v>213</v>
      </c>
      <c r="AY701" s="87"/>
      <c r="AZ701" s="87"/>
      <c r="BA701" s="91" t="s">
        <v>3335</v>
      </c>
      <c r="BB701" s="84"/>
      <c r="BC701" s="85"/>
      <c r="BD701" s="85"/>
    </row>
    <row r="702" spans="1:56" s="86" customFormat="1" ht="55.5" customHeight="1">
      <c r="A702" s="78">
        <v>697</v>
      </c>
      <c r="B702" s="79" t="s">
        <v>3336</v>
      </c>
      <c r="C702" s="88">
        <v>45482</v>
      </c>
      <c r="D702" s="89">
        <v>0.41666666666666669</v>
      </c>
      <c r="E702" s="87" t="s">
        <v>58</v>
      </c>
      <c r="F702" s="87" t="s">
        <v>1437</v>
      </c>
      <c r="G702" s="87" t="s">
        <v>95</v>
      </c>
      <c r="H702" s="90" t="s">
        <v>3337</v>
      </c>
      <c r="I702" s="90" t="s">
        <v>64</v>
      </c>
      <c r="J702" s="87" t="s">
        <v>173</v>
      </c>
      <c r="K702" s="87"/>
      <c r="L702" s="90" t="s">
        <v>72</v>
      </c>
      <c r="M702" s="91" t="s">
        <v>72</v>
      </c>
      <c r="N702" s="90" t="s">
        <v>72</v>
      </c>
      <c r="O702" s="90" t="str">
        <f t="shared" si="79"/>
        <v>Distrital</v>
      </c>
      <c r="P702" s="87" t="s">
        <v>73</v>
      </c>
      <c r="Q702" s="87"/>
      <c r="R702" s="87"/>
      <c r="S702" s="87"/>
      <c r="T702" s="87"/>
      <c r="U702" s="87"/>
      <c r="V702" s="90" t="str">
        <f t="shared" si="82"/>
        <v>Distrital</v>
      </c>
      <c r="W702" s="87" t="s">
        <v>73</v>
      </c>
      <c r="X702" s="87"/>
      <c r="Y702" s="87"/>
      <c r="Z702" s="87"/>
      <c r="AA702" s="87"/>
      <c r="AB702" s="87"/>
      <c r="AC702" s="90" t="str">
        <f t="shared" si="83"/>
        <v>Distrital</v>
      </c>
      <c r="AD702" s="87" t="s">
        <v>73</v>
      </c>
      <c r="AE702" s="87"/>
      <c r="AF702" s="87"/>
      <c r="AG702" s="87"/>
      <c r="AH702" s="87"/>
      <c r="AI702" s="87"/>
      <c r="AJ702" s="87"/>
      <c r="AK702" s="87"/>
      <c r="AL702" s="87"/>
      <c r="AM702" s="87"/>
      <c r="AN702" s="90" t="s">
        <v>160</v>
      </c>
      <c r="AO702" s="105" t="s">
        <v>3338</v>
      </c>
      <c r="AP702" s="82"/>
      <c r="AQ702" s="87" t="s">
        <v>59</v>
      </c>
      <c r="AR702" s="87" t="s">
        <v>80</v>
      </c>
      <c r="AS702" s="82"/>
      <c r="AT702" s="87">
        <v>6</v>
      </c>
      <c r="AU702" s="87">
        <v>5</v>
      </c>
      <c r="AV702" s="87">
        <f t="shared" si="115"/>
        <v>11</v>
      </c>
      <c r="AW702" s="87" t="str">
        <f t="shared" si="54"/>
        <v>Ninguna</v>
      </c>
      <c r="AX702" s="87" t="s">
        <v>75</v>
      </c>
      <c r="AY702" s="87"/>
      <c r="AZ702" s="87"/>
      <c r="BA702" s="91" t="s">
        <v>3339</v>
      </c>
      <c r="BB702" s="84"/>
      <c r="BC702" s="85"/>
      <c r="BD702" s="85"/>
    </row>
    <row r="703" spans="1:56" s="86" customFormat="1" ht="46.5" customHeight="1">
      <c r="A703" s="87">
        <v>698</v>
      </c>
      <c r="B703" s="79" t="s">
        <v>631</v>
      </c>
      <c r="C703" s="88">
        <v>45482</v>
      </c>
      <c r="D703" s="89">
        <v>0.41666666666666669</v>
      </c>
      <c r="E703" s="87" t="s">
        <v>93</v>
      </c>
      <c r="F703" s="87" t="s">
        <v>321</v>
      </c>
      <c r="G703" s="87" t="s">
        <v>62</v>
      </c>
      <c r="H703" s="90" t="s">
        <v>3340</v>
      </c>
      <c r="I703" s="90" t="s">
        <v>118</v>
      </c>
      <c r="J703" s="87" t="s">
        <v>70</v>
      </c>
      <c r="K703" s="87" t="s">
        <v>1810</v>
      </c>
      <c r="L703" s="90" t="s">
        <v>2065</v>
      </c>
      <c r="M703" s="91" t="s">
        <v>3341</v>
      </c>
      <c r="N703" s="90" t="s">
        <v>634</v>
      </c>
      <c r="O703" s="90" t="str">
        <f>_xlfn.TEXTJOIN(", ",TRUE,$P703:$T703)</f>
        <v>Engativá</v>
      </c>
      <c r="P703" s="87" t="s">
        <v>123</v>
      </c>
      <c r="Q703" s="87"/>
      <c r="R703" s="87"/>
      <c r="S703" s="87"/>
      <c r="T703" s="87"/>
      <c r="U703" s="87"/>
      <c r="V703" s="90" t="str">
        <f>_xlfn.TEXTJOIN(", ",TRUE,$W703:$AB703)</f>
        <v>Occidente</v>
      </c>
      <c r="W703" s="87" t="s">
        <v>124</v>
      </c>
      <c r="X703" s="87"/>
      <c r="Y703" s="87"/>
      <c r="Z703" s="87"/>
      <c r="AA703" s="87"/>
      <c r="AB703" s="87"/>
      <c r="AC703" s="90" t="str">
        <f>_xlfn.TEXTJOIN(", ",TRUE,$AD703:$AM703)</f>
        <v>Engativá, Tabora, Salitre</v>
      </c>
      <c r="AD703" s="87" t="s">
        <v>123</v>
      </c>
      <c r="AE703" s="87" t="s">
        <v>257</v>
      </c>
      <c r="AF703" s="87" t="s">
        <v>258</v>
      </c>
      <c r="AG703" s="87"/>
      <c r="AH703" s="87"/>
      <c r="AI703" s="87"/>
      <c r="AJ703" s="87"/>
      <c r="AK703" s="87"/>
      <c r="AL703" s="87"/>
      <c r="AM703" s="87"/>
      <c r="AN703" s="90" t="s">
        <v>160</v>
      </c>
      <c r="AO703" s="90" t="s">
        <v>2066</v>
      </c>
      <c r="AP703" s="82"/>
      <c r="AQ703" s="87" t="s">
        <v>59</v>
      </c>
      <c r="AR703" s="87" t="s">
        <v>80</v>
      </c>
      <c r="AS703" s="82"/>
      <c r="AT703" s="87">
        <v>24</v>
      </c>
      <c r="AU703" s="87">
        <v>0</v>
      </c>
      <c r="AV703" s="87">
        <f>AT703+AU703</f>
        <v>24</v>
      </c>
      <c r="AW703" s="87" t="str">
        <f>_xlfn.TEXTJOIN(", ",TRUE,$AX703:$AZ703)</f>
        <v>Accesibilidad Universal</v>
      </c>
      <c r="AX703" s="87" t="s">
        <v>246</v>
      </c>
      <c r="AY703" s="87"/>
      <c r="AZ703" s="87"/>
      <c r="BA703" s="91" t="s">
        <v>3342</v>
      </c>
      <c r="BB703" s="84"/>
      <c r="BC703" s="85"/>
      <c r="BD703" s="85"/>
    </row>
    <row r="704" spans="1:56" s="86" customFormat="1" ht="46.5" customHeight="1">
      <c r="A704" s="78">
        <v>699</v>
      </c>
      <c r="B704" s="79" t="s">
        <v>909</v>
      </c>
      <c r="C704" s="88">
        <v>45482</v>
      </c>
      <c r="D704" s="89">
        <v>0.41666666666666669</v>
      </c>
      <c r="E704" s="87" t="s">
        <v>93</v>
      </c>
      <c r="F704" s="87" t="s">
        <v>321</v>
      </c>
      <c r="G704" s="87" t="s">
        <v>62</v>
      </c>
      <c r="H704" s="90" t="s">
        <v>3343</v>
      </c>
      <c r="I704" s="90" t="s">
        <v>118</v>
      </c>
      <c r="J704" s="87" t="s">
        <v>70</v>
      </c>
      <c r="K704" s="87" t="s">
        <v>1810</v>
      </c>
      <c r="L704" s="90" t="s">
        <v>3344</v>
      </c>
      <c r="M704" s="91" t="s">
        <v>3345</v>
      </c>
      <c r="N704" s="90" t="s">
        <v>3346</v>
      </c>
      <c r="O704" s="90" t="str">
        <f t="shared" ref="O704" si="116">_xlfn.TEXTJOIN(", ",TRUE,$P704:$T704)</f>
        <v>Tunjuelito</v>
      </c>
      <c r="P704" s="87" t="s">
        <v>618</v>
      </c>
      <c r="Q704" s="87"/>
      <c r="R704" s="87"/>
      <c r="S704" s="87"/>
      <c r="T704" s="87"/>
      <c r="U704" s="87"/>
      <c r="V704" s="90" t="str">
        <f t="shared" ref="V704" si="117">_xlfn.TEXTJOIN(", ",TRUE,$W704:$AB704)</f>
        <v>Suroriente</v>
      </c>
      <c r="W704" s="87" t="s">
        <v>108</v>
      </c>
      <c r="X704" s="87"/>
      <c r="Y704" s="87"/>
      <c r="Z704" s="87"/>
      <c r="AA704" s="87"/>
      <c r="AB704" s="87"/>
      <c r="AC704" s="90" t="str">
        <f t="shared" ref="AC704" si="118">_xlfn.TEXTJOIN(", ",TRUE,$AD704:$AM704)</f>
        <v>Tunjuelito, Arborizadora</v>
      </c>
      <c r="AD704" s="87" t="s">
        <v>618</v>
      </c>
      <c r="AE704" s="87" t="s">
        <v>110</v>
      </c>
      <c r="AF704" s="87"/>
      <c r="AG704" s="87"/>
      <c r="AH704" s="87"/>
      <c r="AI704" s="87"/>
      <c r="AJ704" s="87"/>
      <c r="AK704" s="87"/>
      <c r="AL704" s="87"/>
      <c r="AM704" s="87"/>
      <c r="AN704" s="90" t="s">
        <v>618</v>
      </c>
      <c r="AO704" s="90" t="s">
        <v>3347</v>
      </c>
      <c r="AP704" s="82"/>
      <c r="AQ704" s="87" t="s">
        <v>59</v>
      </c>
      <c r="AR704" s="87" t="s">
        <v>80</v>
      </c>
      <c r="AS704" s="82"/>
      <c r="AT704" s="87">
        <v>19</v>
      </c>
      <c r="AU704" s="87">
        <v>1</v>
      </c>
      <c r="AV704" s="87">
        <f t="shared" ref="AV704" si="119">AT704+AU704</f>
        <v>20</v>
      </c>
      <c r="AW704" s="87" t="str">
        <f t="shared" si="54"/>
        <v>Horarios Acordes</v>
      </c>
      <c r="AX704" s="87" t="s">
        <v>213</v>
      </c>
      <c r="AY704" s="87"/>
      <c r="AZ704" s="87"/>
      <c r="BA704" s="91" t="s">
        <v>3348</v>
      </c>
      <c r="BB704" s="84"/>
      <c r="BC704" s="85"/>
      <c r="BD704" s="85"/>
    </row>
    <row r="705" spans="1:56" s="86" customFormat="1" ht="46.5" customHeight="1">
      <c r="A705" s="87">
        <v>700</v>
      </c>
      <c r="B705" s="79" t="s">
        <v>2568</v>
      </c>
      <c r="C705" s="88">
        <v>45482</v>
      </c>
      <c r="D705" s="89">
        <v>0.58333333333333337</v>
      </c>
      <c r="E705" s="87" t="s">
        <v>93</v>
      </c>
      <c r="F705" s="87" t="s">
        <v>321</v>
      </c>
      <c r="G705" s="87" t="s">
        <v>62</v>
      </c>
      <c r="H705" s="90" t="s">
        <v>2569</v>
      </c>
      <c r="I705" s="90" t="s">
        <v>118</v>
      </c>
      <c r="J705" s="87" t="s">
        <v>70</v>
      </c>
      <c r="K705" s="87" t="s">
        <v>1810</v>
      </c>
      <c r="L705" s="90" t="s">
        <v>3349</v>
      </c>
      <c r="M705" s="91" t="s">
        <v>3350</v>
      </c>
      <c r="N705" s="90" t="s">
        <v>2571</v>
      </c>
      <c r="O705" s="90" t="str">
        <f t="shared" si="79"/>
        <v>Chapinero</v>
      </c>
      <c r="P705" s="87" t="s">
        <v>221</v>
      </c>
      <c r="Q705" s="87"/>
      <c r="R705" s="87"/>
      <c r="S705" s="87"/>
      <c r="T705" s="87"/>
      <c r="U705" s="87"/>
      <c r="V705" s="90" t="str">
        <f t="shared" si="82"/>
        <v>Centro Ampliado, Ruralidad</v>
      </c>
      <c r="W705" s="87" t="s">
        <v>415</v>
      </c>
      <c r="X705" s="87" t="s">
        <v>109</v>
      </c>
      <c r="Y705" s="87"/>
      <c r="Z705" s="87"/>
      <c r="AA705" s="87"/>
      <c r="AB705" s="87"/>
      <c r="AC705" s="90" t="str">
        <f t="shared" si="83"/>
        <v>Chapinero, Centro Histórico, Cerros Orientales</v>
      </c>
      <c r="AD705" s="87" t="s">
        <v>221</v>
      </c>
      <c r="AE705" s="87" t="s">
        <v>488</v>
      </c>
      <c r="AF705" s="87" t="s">
        <v>222</v>
      </c>
      <c r="AG705" s="87"/>
      <c r="AH705" s="87"/>
      <c r="AI705" s="87"/>
      <c r="AJ705" s="87"/>
      <c r="AK705" s="87"/>
      <c r="AL705" s="87"/>
      <c r="AM705" s="87"/>
      <c r="AN705" s="90" t="s">
        <v>3351</v>
      </c>
      <c r="AO705" s="90" t="s">
        <v>3352</v>
      </c>
      <c r="AP705" s="82"/>
      <c r="AQ705" s="87" t="s">
        <v>59</v>
      </c>
      <c r="AR705" s="87" t="s">
        <v>80</v>
      </c>
      <c r="AS705" s="82"/>
      <c r="AT705" s="87">
        <v>17</v>
      </c>
      <c r="AU705" s="87">
        <v>1</v>
      </c>
      <c r="AV705" s="87">
        <f t="shared" si="103"/>
        <v>18</v>
      </c>
      <c r="AW705" s="87" t="str">
        <f t="shared" si="54"/>
        <v>Ninguna</v>
      </c>
      <c r="AX705" s="87" t="s">
        <v>75</v>
      </c>
      <c r="AY705" s="87"/>
      <c r="AZ705" s="87"/>
      <c r="BA705" s="91" t="s">
        <v>3353</v>
      </c>
      <c r="BB705" s="84"/>
      <c r="BC705" s="85"/>
      <c r="BD705" s="85"/>
    </row>
    <row r="706" spans="1:56" s="86" customFormat="1" ht="46.5" customHeight="1">
      <c r="A706" s="78">
        <v>701</v>
      </c>
      <c r="B706" s="79" t="s">
        <v>3354</v>
      </c>
      <c r="C706" s="88">
        <v>45482</v>
      </c>
      <c r="D706" s="89">
        <v>0.625</v>
      </c>
      <c r="E706" s="87" t="s">
        <v>58</v>
      </c>
      <c r="F706" s="87" t="s">
        <v>135</v>
      </c>
      <c r="G706" s="87" t="s">
        <v>62</v>
      </c>
      <c r="H706" s="90" t="s">
        <v>3355</v>
      </c>
      <c r="I706" s="90" t="s">
        <v>64</v>
      </c>
      <c r="J706" s="87" t="s">
        <v>70</v>
      </c>
      <c r="K706" s="87" t="s">
        <v>71</v>
      </c>
      <c r="L706" s="90" t="s">
        <v>3356</v>
      </c>
      <c r="M706" s="91" t="s">
        <v>3357</v>
      </c>
      <c r="N706" s="90" t="s">
        <v>3358</v>
      </c>
      <c r="O706" s="90" t="str">
        <f t="shared" si="79"/>
        <v>Distrital</v>
      </c>
      <c r="P706" s="87" t="s">
        <v>73</v>
      </c>
      <c r="Q706" s="87"/>
      <c r="R706" s="87"/>
      <c r="S706" s="87"/>
      <c r="T706" s="87"/>
      <c r="U706" s="87"/>
      <c r="V706" s="90" t="str">
        <f t="shared" si="82"/>
        <v>Distrital</v>
      </c>
      <c r="W706" s="87" t="s">
        <v>73</v>
      </c>
      <c r="X706" s="87"/>
      <c r="Y706" s="87"/>
      <c r="Z706" s="87"/>
      <c r="AA706" s="87"/>
      <c r="AB706" s="87"/>
      <c r="AC706" s="90" t="str">
        <f t="shared" si="83"/>
        <v>Distrital</v>
      </c>
      <c r="AD706" s="87" t="s">
        <v>73</v>
      </c>
      <c r="AE706" s="87"/>
      <c r="AF706" s="87"/>
      <c r="AG706" s="87"/>
      <c r="AH706" s="87"/>
      <c r="AI706" s="87"/>
      <c r="AJ706" s="87"/>
      <c r="AK706" s="87"/>
      <c r="AL706" s="87"/>
      <c r="AM706" s="87"/>
      <c r="AN706" s="90" t="s">
        <v>3359</v>
      </c>
      <c r="AO706" s="90" t="s">
        <v>3360</v>
      </c>
      <c r="AP706" s="82"/>
      <c r="AQ706" s="87" t="s">
        <v>59</v>
      </c>
      <c r="AR706" s="87" t="s">
        <v>80</v>
      </c>
      <c r="AS706" s="82"/>
      <c r="AT706" s="87">
        <v>0</v>
      </c>
      <c r="AU706" s="87">
        <v>3</v>
      </c>
      <c r="AV706" s="87">
        <f t="shared" si="103"/>
        <v>3</v>
      </c>
      <c r="AW706" s="87" t="str">
        <f t="shared" si="54"/>
        <v>Ninguna</v>
      </c>
      <c r="AX706" s="87" t="s">
        <v>75</v>
      </c>
      <c r="AY706" s="87"/>
      <c r="AZ706" s="87"/>
      <c r="BA706" s="91" t="s">
        <v>3361</v>
      </c>
      <c r="BB706" s="84"/>
      <c r="BC706" s="85"/>
      <c r="BD706" s="85"/>
    </row>
    <row r="707" spans="1:56" s="86" customFormat="1" ht="46.5" customHeight="1">
      <c r="A707" s="87">
        <v>702</v>
      </c>
      <c r="B707" s="79" t="s">
        <v>3362</v>
      </c>
      <c r="C707" s="88">
        <v>45482</v>
      </c>
      <c r="D707" s="89">
        <v>0.70833333333333337</v>
      </c>
      <c r="E707" s="87" t="s">
        <v>93</v>
      </c>
      <c r="F707" s="87" t="s">
        <v>102</v>
      </c>
      <c r="G707" s="87" t="s">
        <v>95</v>
      </c>
      <c r="H707" s="90" t="s">
        <v>3363</v>
      </c>
      <c r="I707" s="90" t="s">
        <v>118</v>
      </c>
      <c r="J707" s="87" t="s">
        <v>119</v>
      </c>
      <c r="K707" s="87" t="s">
        <v>129</v>
      </c>
      <c r="L707" s="90" t="s">
        <v>905</v>
      </c>
      <c r="M707" s="91" t="s">
        <v>3364</v>
      </c>
      <c r="N707" s="90" t="s">
        <v>906</v>
      </c>
      <c r="O707" s="90" t="str">
        <f t="shared" si="79"/>
        <v>Distrital</v>
      </c>
      <c r="P707" s="87" t="s">
        <v>73</v>
      </c>
      <c r="Q707" s="87"/>
      <c r="R707" s="87"/>
      <c r="S707" s="87"/>
      <c r="T707" s="87"/>
      <c r="U707" s="87"/>
      <c r="V707" s="90" t="str">
        <f t="shared" si="82"/>
        <v>Distrital</v>
      </c>
      <c r="W707" s="87" t="s">
        <v>73</v>
      </c>
      <c r="X707" s="87"/>
      <c r="Y707" s="87"/>
      <c r="Z707" s="87"/>
      <c r="AA707" s="87"/>
      <c r="AB707" s="87"/>
      <c r="AC707" s="90" t="str">
        <f t="shared" si="83"/>
        <v>Distrital</v>
      </c>
      <c r="AD707" s="87" t="s">
        <v>73</v>
      </c>
      <c r="AE707" s="87"/>
      <c r="AF707" s="87"/>
      <c r="AG707" s="87"/>
      <c r="AH707" s="87"/>
      <c r="AI707" s="87"/>
      <c r="AJ707" s="87"/>
      <c r="AK707" s="87"/>
      <c r="AL707" s="87"/>
      <c r="AM707" s="87"/>
      <c r="AN707" s="90" t="s">
        <v>160</v>
      </c>
      <c r="AO707" s="105" t="s">
        <v>2638</v>
      </c>
      <c r="AP707" s="82"/>
      <c r="AQ707" s="87" t="s">
        <v>59</v>
      </c>
      <c r="AR707" s="87" t="s">
        <v>80</v>
      </c>
      <c r="AS707" s="82"/>
      <c r="AT707" s="87">
        <v>29</v>
      </c>
      <c r="AU707" s="87">
        <v>1</v>
      </c>
      <c r="AV707" s="87">
        <f t="shared" si="103"/>
        <v>30</v>
      </c>
      <c r="AW707" s="87" t="str">
        <f t="shared" si="54"/>
        <v>Ninguna</v>
      </c>
      <c r="AX707" s="87" t="s">
        <v>75</v>
      </c>
      <c r="AY707" s="87"/>
      <c r="AZ707" s="87"/>
      <c r="BA707" s="91" t="s">
        <v>3365</v>
      </c>
      <c r="BB707" s="84"/>
      <c r="BC707" s="85"/>
      <c r="BD707" s="85"/>
    </row>
    <row r="708" spans="1:56" s="86" customFormat="1" ht="46.5" customHeight="1">
      <c r="A708" s="78">
        <v>703</v>
      </c>
      <c r="B708" s="79" t="s">
        <v>3366</v>
      </c>
      <c r="C708" s="88">
        <v>45482</v>
      </c>
      <c r="D708" s="89">
        <v>0.70833333333333337</v>
      </c>
      <c r="E708" s="87" t="s">
        <v>58</v>
      </c>
      <c r="F708" s="87" t="s">
        <v>116</v>
      </c>
      <c r="G708" s="87" t="s">
        <v>62</v>
      </c>
      <c r="H708" s="90" t="s">
        <v>3367</v>
      </c>
      <c r="I708" s="90" t="s">
        <v>118</v>
      </c>
      <c r="J708" s="87" t="s">
        <v>173</v>
      </c>
      <c r="K708" s="87"/>
      <c r="L708" s="90" t="s">
        <v>2151</v>
      </c>
      <c r="M708" s="91" t="s">
        <v>3368</v>
      </c>
      <c r="N708" s="90" t="s">
        <v>2152</v>
      </c>
      <c r="O708" s="90" t="str">
        <f>_xlfn.TEXTJOIN(", ",TRUE,$P708:$T708)</f>
        <v>Barrios Unidos</v>
      </c>
      <c r="P708" s="87" t="s">
        <v>686</v>
      </c>
      <c r="Q708" s="87"/>
      <c r="R708" s="87"/>
      <c r="S708" s="87"/>
      <c r="T708" s="87"/>
      <c r="U708" s="87"/>
      <c r="V708" s="90" t="str">
        <f>_xlfn.TEXTJOIN(", ",TRUE,$W708:$AB708)</f>
        <v>Centro Ampliado</v>
      </c>
      <c r="W708" s="87" t="s">
        <v>415</v>
      </c>
      <c r="X708" s="87"/>
      <c r="Y708" s="87"/>
      <c r="Z708" s="87"/>
      <c r="AA708" s="87"/>
      <c r="AB708" s="87"/>
      <c r="AC708" s="90" t="str">
        <f>_xlfn.TEXTJOIN(", ",TRUE,$AD708:$AM708)</f>
        <v>Barrios Unidos</v>
      </c>
      <c r="AD708" s="87" t="s">
        <v>686</v>
      </c>
      <c r="AE708" s="87"/>
      <c r="AF708" s="87"/>
      <c r="AG708" s="87"/>
      <c r="AH708" s="87"/>
      <c r="AI708" s="87"/>
      <c r="AJ708" s="87"/>
      <c r="AK708" s="87"/>
      <c r="AL708" s="87"/>
      <c r="AM708" s="87"/>
      <c r="AN708" s="90" t="s">
        <v>3369</v>
      </c>
      <c r="AO708" s="90" t="s">
        <v>3370</v>
      </c>
      <c r="AP708" s="82"/>
      <c r="AQ708" s="87" t="s">
        <v>59</v>
      </c>
      <c r="AR708" s="87" t="s">
        <v>80</v>
      </c>
      <c r="AS708" s="82"/>
      <c r="AT708" s="87">
        <v>11</v>
      </c>
      <c r="AU708" s="87">
        <v>1</v>
      </c>
      <c r="AV708" s="87">
        <f>AT708+AU708</f>
        <v>12</v>
      </c>
      <c r="AW708" s="87" t="str">
        <f>_xlfn.TEXTJOIN(", ",TRUE,$AX708:$AZ708)</f>
        <v>Ninguna</v>
      </c>
      <c r="AX708" s="87" t="s">
        <v>75</v>
      </c>
      <c r="AY708" s="87"/>
      <c r="AZ708" s="87"/>
      <c r="BA708" s="91" t="s">
        <v>3371</v>
      </c>
      <c r="BB708" s="84"/>
      <c r="BC708" s="85"/>
      <c r="BD708" s="85"/>
    </row>
    <row r="709" spans="1:56" s="86" customFormat="1" ht="63" customHeight="1">
      <c r="A709" s="87">
        <v>704</v>
      </c>
      <c r="B709" s="79" t="s">
        <v>3372</v>
      </c>
      <c r="C709" s="88">
        <v>45482</v>
      </c>
      <c r="D709" s="89">
        <v>0.70833333333333337</v>
      </c>
      <c r="E709" s="87" t="s">
        <v>58</v>
      </c>
      <c r="F709" s="87" t="s">
        <v>135</v>
      </c>
      <c r="G709" s="87" t="s">
        <v>95</v>
      </c>
      <c r="H709" s="90" t="s">
        <v>3373</v>
      </c>
      <c r="I709" s="90" t="s">
        <v>64</v>
      </c>
      <c r="J709" s="87" t="s">
        <v>119</v>
      </c>
      <c r="K709" s="87" t="s">
        <v>209</v>
      </c>
      <c r="L709" s="90" t="s">
        <v>1222</v>
      </c>
      <c r="M709" s="91" t="s">
        <v>3374</v>
      </c>
      <c r="N709" s="90" t="s">
        <v>3375</v>
      </c>
      <c r="O709" s="90" t="str">
        <f>_xlfn.TEXTJOIN(", ",TRUE,$P709:$T709)</f>
        <v>Distrital</v>
      </c>
      <c r="P709" s="87" t="s">
        <v>73</v>
      </c>
      <c r="Q709" s="87"/>
      <c r="R709" s="87"/>
      <c r="S709" s="87"/>
      <c r="T709" s="87"/>
      <c r="U709" s="87"/>
      <c r="V709" s="90" t="str">
        <f>_xlfn.TEXTJOIN(", ",TRUE,$W709:$AB709)</f>
        <v>Distrital</v>
      </c>
      <c r="W709" s="87" t="s">
        <v>73</v>
      </c>
      <c r="X709" s="87"/>
      <c r="Y709" s="87"/>
      <c r="Z709" s="87"/>
      <c r="AA709" s="87"/>
      <c r="AB709" s="87"/>
      <c r="AC709" s="90" t="str">
        <f>_xlfn.TEXTJOIN(", ",TRUE,$AD709:$AM709)</f>
        <v>Distrital</v>
      </c>
      <c r="AD709" s="87" t="s">
        <v>73</v>
      </c>
      <c r="AE709" s="87"/>
      <c r="AF709" s="87"/>
      <c r="AG709" s="87"/>
      <c r="AH709" s="87"/>
      <c r="AI709" s="87"/>
      <c r="AJ709" s="87"/>
      <c r="AK709" s="87"/>
      <c r="AL709" s="87"/>
      <c r="AM709" s="87"/>
      <c r="AN709" s="90" t="s">
        <v>2168</v>
      </c>
      <c r="AO709" s="102" t="s">
        <v>2638</v>
      </c>
      <c r="AP709" s="82"/>
      <c r="AQ709" s="87" t="s">
        <v>59</v>
      </c>
      <c r="AR709" s="87" t="s">
        <v>80</v>
      </c>
      <c r="AS709" s="82"/>
      <c r="AT709" s="87">
        <v>1</v>
      </c>
      <c r="AU709" s="87">
        <v>2</v>
      </c>
      <c r="AV709" s="87">
        <f t="shared" ref="AV709:AV712" si="120">AT709+AU709</f>
        <v>3</v>
      </c>
      <c r="AW709" s="87" t="str">
        <f>_xlfn.TEXTJOIN(", ",TRUE,$AX709:$AZ709)</f>
        <v>Ninguna</v>
      </c>
      <c r="AX709" s="87" t="s">
        <v>75</v>
      </c>
      <c r="AY709" s="87"/>
      <c r="AZ709" s="87"/>
      <c r="BA709" s="91" t="s">
        <v>3376</v>
      </c>
      <c r="BB709" s="84"/>
      <c r="BC709" s="85"/>
      <c r="BD709" s="85"/>
    </row>
    <row r="710" spans="1:56" s="86" customFormat="1" ht="63" customHeight="1">
      <c r="A710" s="78">
        <v>705</v>
      </c>
      <c r="B710" s="79" t="s">
        <v>3377</v>
      </c>
      <c r="C710" s="88">
        <v>45483</v>
      </c>
      <c r="D710" s="89">
        <v>0.29166666666666669</v>
      </c>
      <c r="E710" s="87" t="s">
        <v>58</v>
      </c>
      <c r="F710" s="87" t="s">
        <v>135</v>
      </c>
      <c r="G710" s="87" t="s">
        <v>62</v>
      </c>
      <c r="H710" s="90" t="s">
        <v>3378</v>
      </c>
      <c r="I710" s="90" t="s">
        <v>64</v>
      </c>
      <c r="J710" s="87" t="s">
        <v>70</v>
      </c>
      <c r="K710" s="87" t="s">
        <v>71</v>
      </c>
      <c r="L710" s="90" t="s">
        <v>3379</v>
      </c>
      <c r="M710" s="91" t="s">
        <v>3380</v>
      </c>
      <c r="N710" s="90" t="s">
        <v>3381</v>
      </c>
      <c r="O710" s="90" t="str">
        <f t="shared" ref="O710" si="121">_xlfn.TEXTJOIN(", ",TRUE,$P710:$T710)</f>
        <v>Distrital</v>
      </c>
      <c r="P710" s="87" t="s">
        <v>73</v>
      </c>
      <c r="Q710" s="87"/>
      <c r="R710" s="87"/>
      <c r="S710" s="87"/>
      <c r="T710" s="87"/>
      <c r="U710" s="87"/>
      <c r="V710" s="90" t="str">
        <f>_xlfn.TEXTJOIN(", ",TRUE,$W710:$AB710)</f>
        <v>Distrital</v>
      </c>
      <c r="W710" s="87" t="s">
        <v>73</v>
      </c>
      <c r="X710" s="87"/>
      <c r="Y710" s="87"/>
      <c r="Z710" s="87"/>
      <c r="AA710" s="87"/>
      <c r="AB710" s="87"/>
      <c r="AC710" s="90" t="str">
        <f>_xlfn.TEXTJOIN(", ",TRUE,$AD710:$AM710)</f>
        <v>Distrital</v>
      </c>
      <c r="AD710" s="87" t="s">
        <v>73</v>
      </c>
      <c r="AE710" s="87"/>
      <c r="AF710" s="87"/>
      <c r="AG710" s="87"/>
      <c r="AH710" s="87"/>
      <c r="AI710" s="87"/>
      <c r="AJ710" s="87"/>
      <c r="AK710" s="87"/>
      <c r="AL710" s="87"/>
      <c r="AM710" s="87"/>
      <c r="AN710" s="90" t="s">
        <v>1336</v>
      </c>
      <c r="AO710" s="90" t="s">
        <v>3382</v>
      </c>
      <c r="AP710" s="82"/>
      <c r="AQ710" s="87" t="s">
        <v>59</v>
      </c>
      <c r="AR710" s="87" t="s">
        <v>80</v>
      </c>
      <c r="AS710" s="82"/>
      <c r="AT710" s="87">
        <v>0</v>
      </c>
      <c r="AU710" s="87">
        <v>30</v>
      </c>
      <c r="AV710" s="87">
        <f t="shared" si="120"/>
        <v>30</v>
      </c>
      <c r="AW710" s="87" t="str">
        <f t="shared" si="54"/>
        <v>Ninguna</v>
      </c>
      <c r="AX710" s="87" t="s">
        <v>75</v>
      </c>
      <c r="AY710" s="87"/>
      <c r="AZ710" s="87"/>
      <c r="BA710" s="91" t="s">
        <v>3383</v>
      </c>
      <c r="BB710" s="84"/>
      <c r="BC710" s="85"/>
      <c r="BD710" s="85"/>
    </row>
    <row r="711" spans="1:56" s="86" customFormat="1" ht="63" customHeight="1">
      <c r="A711" s="87">
        <v>706</v>
      </c>
      <c r="B711" s="79" t="s">
        <v>3384</v>
      </c>
      <c r="C711" s="88">
        <v>45483</v>
      </c>
      <c r="D711" s="89">
        <v>0.33333333333333331</v>
      </c>
      <c r="E711" s="87" t="s">
        <v>58</v>
      </c>
      <c r="F711" s="87" t="s">
        <v>61</v>
      </c>
      <c r="G711" s="87" t="s">
        <v>95</v>
      </c>
      <c r="H711" s="90" t="s">
        <v>3385</v>
      </c>
      <c r="I711" s="90" t="s">
        <v>118</v>
      </c>
      <c r="J711" s="87" t="s">
        <v>70</v>
      </c>
      <c r="K711" s="87" t="s">
        <v>71</v>
      </c>
      <c r="L711" s="90" t="s">
        <v>72</v>
      </c>
      <c r="M711" s="90" t="s">
        <v>72</v>
      </c>
      <c r="N711" s="90" t="s">
        <v>72</v>
      </c>
      <c r="O711" s="90" t="str">
        <f>_xlfn.TEXTJOIN(", ",TRUE,$P711:$T711)</f>
        <v>Distrital</v>
      </c>
      <c r="P711" s="87" t="s">
        <v>73</v>
      </c>
      <c r="Q711" s="87"/>
      <c r="R711" s="87"/>
      <c r="S711" s="87"/>
      <c r="T711" s="87"/>
      <c r="U711" s="87"/>
      <c r="V711" s="90" t="str">
        <f>_xlfn.TEXTJOIN(", ",TRUE,$W711:$AB711)</f>
        <v>Distrital</v>
      </c>
      <c r="W711" s="87" t="s">
        <v>73</v>
      </c>
      <c r="X711" s="87"/>
      <c r="Y711" s="87"/>
      <c r="Z711" s="87"/>
      <c r="AA711" s="87"/>
      <c r="AB711" s="87"/>
      <c r="AC711" s="90" t="str">
        <f>_xlfn.TEXTJOIN(", ",TRUE,$AD711:$AM711)</f>
        <v>Distrital</v>
      </c>
      <c r="AD711" s="87" t="s">
        <v>73</v>
      </c>
      <c r="AE711" s="87"/>
      <c r="AF711" s="87"/>
      <c r="AG711" s="87"/>
      <c r="AH711" s="87"/>
      <c r="AI711" s="87"/>
      <c r="AJ711" s="87"/>
      <c r="AK711" s="87"/>
      <c r="AL711" s="87"/>
      <c r="AM711" s="87"/>
      <c r="AN711" s="90" t="s">
        <v>160</v>
      </c>
      <c r="AO711" s="102" t="s">
        <v>2638</v>
      </c>
      <c r="AP711" s="82"/>
      <c r="AQ711" s="87" t="s">
        <v>60</v>
      </c>
      <c r="AR711" s="87" t="s">
        <v>77</v>
      </c>
      <c r="AS711" s="82"/>
      <c r="AT711" s="87">
        <v>25</v>
      </c>
      <c r="AU711" s="87">
        <v>6</v>
      </c>
      <c r="AV711" s="87">
        <f t="shared" si="120"/>
        <v>31</v>
      </c>
      <c r="AW711" s="87" t="str">
        <f t="shared" si="54"/>
        <v>Ninguna</v>
      </c>
      <c r="AX711" s="87" t="s">
        <v>75</v>
      </c>
      <c r="AY711" s="87"/>
      <c r="AZ711" s="87"/>
      <c r="BA711" s="91" t="s">
        <v>3387</v>
      </c>
      <c r="BB711" s="84"/>
      <c r="BC711" s="85"/>
      <c r="BD711" s="85"/>
    </row>
    <row r="712" spans="1:56" s="86" customFormat="1" ht="63" customHeight="1">
      <c r="A712" s="78">
        <v>707</v>
      </c>
      <c r="B712" s="79" t="s">
        <v>3388</v>
      </c>
      <c r="C712" s="88">
        <v>45483</v>
      </c>
      <c r="D712" s="89">
        <v>0.33333333333333331</v>
      </c>
      <c r="E712" s="87" t="s">
        <v>58</v>
      </c>
      <c r="F712" s="87" t="s">
        <v>1437</v>
      </c>
      <c r="G712" s="87" t="s">
        <v>95</v>
      </c>
      <c r="H712" s="90" t="s">
        <v>3389</v>
      </c>
      <c r="I712" s="90" t="s">
        <v>118</v>
      </c>
      <c r="J712" s="87" t="s">
        <v>376</v>
      </c>
      <c r="K712" s="87" t="s">
        <v>2330</v>
      </c>
      <c r="L712" s="90" t="s">
        <v>3390</v>
      </c>
      <c r="M712" s="91" t="s">
        <v>3391</v>
      </c>
      <c r="N712" s="90" t="s">
        <v>3392</v>
      </c>
      <c r="O712" s="90" t="str">
        <f t="shared" ref="O712" si="122">_xlfn.TEXTJOIN(", ",TRUE,$P712:$T712)</f>
        <v>Distrital</v>
      </c>
      <c r="P712" s="87" t="s">
        <v>73</v>
      </c>
      <c r="Q712" s="87"/>
      <c r="R712" s="87"/>
      <c r="S712" s="87"/>
      <c r="T712" s="87"/>
      <c r="U712" s="87"/>
      <c r="V712" s="90" t="str">
        <f t="shared" si="82"/>
        <v>Distrital</v>
      </c>
      <c r="W712" s="87" t="s">
        <v>73</v>
      </c>
      <c r="X712" s="87"/>
      <c r="Y712" s="87"/>
      <c r="Z712" s="87"/>
      <c r="AA712" s="87"/>
      <c r="AB712" s="87"/>
      <c r="AC712" s="90" t="str">
        <f t="shared" si="83"/>
        <v>Distrital</v>
      </c>
      <c r="AD712" s="87" t="s">
        <v>73</v>
      </c>
      <c r="AE712" s="87"/>
      <c r="AF712" s="87"/>
      <c r="AG712" s="87"/>
      <c r="AH712" s="87"/>
      <c r="AI712" s="87"/>
      <c r="AJ712" s="87"/>
      <c r="AK712" s="87"/>
      <c r="AL712" s="87"/>
      <c r="AM712" s="87"/>
      <c r="AN712" s="90" t="s">
        <v>160</v>
      </c>
      <c r="AO712" s="90" t="s">
        <v>1947</v>
      </c>
      <c r="AP712" s="82"/>
      <c r="AQ712" s="87" t="s">
        <v>59</v>
      </c>
      <c r="AR712" s="87" t="s">
        <v>80</v>
      </c>
      <c r="AS712" s="82"/>
      <c r="AT712" s="87">
        <v>2</v>
      </c>
      <c r="AU712" s="87">
        <v>5</v>
      </c>
      <c r="AV712" s="87">
        <f t="shared" si="120"/>
        <v>7</v>
      </c>
      <c r="AW712" s="87" t="str">
        <f t="shared" si="54"/>
        <v>Ninguna</v>
      </c>
      <c r="AX712" s="87" t="s">
        <v>75</v>
      </c>
      <c r="AY712" s="87"/>
      <c r="AZ712" s="87"/>
      <c r="BA712" s="91" t="s">
        <v>3393</v>
      </c>
      <c r="BB712" s="84"/>
      <c r="BC712" s="85"/>
      <c r="BD712" s="85"/>
    </row>
    <row r="713" spans="1:56" s="86" customFormat="1" ht="66.75" customHeight="1">
      <c r="A713" s="87">
        <v>708</v>
      </c>
      <c r="B713" s="79" t="s">
        <v>3394</v>
      </c>
      <c r="C713" s="88">
        <v>45483</v>
      </c>
      <c r="D713" s="89">
        <v>0.35416666666666669</v>
      </c>
      <c r="E713" s="87" t="s">
        <v>93</v>
      </c>
      <c r="F713" s="87" t="s">
        <v>321</v>
      </c>
      <c r="G713" s="87" t="s">
        <v>62</v>
      </c>
      <c r="H713" s="90" t="s">
        <v>3395</v>
      </c>
      <c r="I713" s="90" t="s">
        <v>118</v>
      </c>
      <c r="J713" s="87" t="s">
        <v>70</v>
      </c>
      <c r="K713" s="87" t="s">
        <v>1810</v>
      </c>
      <c r="L713" s="90" t="s">
        <v>1975</v>
      </c>
      <c r="M713" s="91" t="s">
        <v>3396</v>
      </c>
      <c r="N713" s="90" t="s">
        <v>1335</v>
      </c>
      <c r="O713" s="90" t="str">
        <f t="shared" si="79"/>
        <v>Teusaquillo</v>
      </c>
      <c r="P713" s="87" t="s">
        <v>665</v>
      </c>
      <c r="Q713" s="87"/>
      <c r="R713" s="87"/>
      <c r="S713" s="87"/>
      <c r="T713" s="87"/>
      <c r="U713" s="87"/>
      <c r="V713" s="90" t="str">
        <f t="shared" si="82"/>
        <v>Centro Ampliado</v>
      </c>
      <c r="W713" s="87" t="s">
        <v>415</v>
      </c>
      <c r="X713" s="87"/>
      <c r="Y713" s="87"/>
      <c r="Z713" s="87"/>
      <c r="AA713" s="87"/>
      <c r="AB713" s="87"/>
      <c r="AC713" s="90" t="str">
        <f t="shared" si="83"/>
        <v>Teusaquillo</v>
      </c>
      <c r="AD713" s="87" t="s">
        <v>665</v>
      </c>
      <c r="AE713" s="87"/>
      <c r="AF713" s="87"/>
      <c r="AG713" s="87"/>
      <c r="AH713" s="87"/>
      <c r="AI713" s="87"/>
      <c r="AJ713" s="87"/>
      <c r="AK713" s="87"/>
      <c r="AL713" s="87"/>
      <c r="AM713" s="87"/>
      <c r="AN713" s="90" t="s">
        <v>1686</v>
      </c>
      <c r="AO713" s="90" t="s">
        <v>3397</v>
      </c>
      <c r="AP713" s="82"/>
      <c r="AQ713" s="87" t="s">
        <v>59</v>
      </c>
      <c r="AR713" s="87" t="s">
        <v>80</v>
      </c>
      <c r="AS713" s="82"/>
      <c r="AT713" s="87">
        <v>15</v>
      </c>
      <c r="AU713" s="87">
        <v>0</v>
      </c>
      <c r="AV713" s="87">
        <f t="shared" si="103"/>
        <v>15</v>
      </c>
      <c r="AW713" s="87" t="str">
        <f t="shared" si="54"/>
        <v>Ninguna</v>
      </c>
      <c r="AX713" s="87" t="s">
        <v>75</v>
      </c>
      <c r="AY713" s="87"/>
      <c r="AZ713" s="87"/>
      <c r="BA713" s="91" t="s">
        <v>3398</v>
      </c>
      <c r="BB713" s="84"/>
      <c r="BC713" s="85"/>
      <c r="BD713" s="85"/>
    </row>
    <row r="714" spans="1:56" s="86" customFormat="1" ht="66.75" customHeight="1">
      <c r="A714" s="78">
        <v>709</v>
      </c>
      <c r="B714" s="79" t="s">
        <v>668</v>
      </c>
      <c r="C714" s="88">
        <v>45483</v>
      </c>
      <c r="D714" s="89">
        <v>0.375</v>
      </c>
      <c r="E714" s="87" t="s">
        <v>93</v>
      </c>
      <c r="F714" s="87" t="s">
        <v>321</v>
      </c>
      <c r="G714" s="87" t="s">
        <v>62</v>
      </c>
      <c r="H714" s="90" t="s">
        <v>669</v>
      </c>
      <c r="I714" s="90" t="s">
        <v>118</v>
      </c>
      <c r="J714" s="87" t="s">
        <v>70</v>
      </c>
      <c r="K714" s="87" t="s">
        <v>1810</v>
      </c>
      <c r="L714" s="90" t="s">
        <v>3399</v>
      </c>
      <c r="M714" s="91" t="s">
        <v>2743</v>
      </c>
      <c r="N714" s="90" t="s">
        <v>2744</v>
      </c>
      <c r="O714" s="90" t="str">
        <f t="shared" si="79"/>
        <v>Usme</v>
      </c>
      <c r="P714" s="87" t="s">
        <v>670</v>
      </c>
      <c r="Q714" s="87"/>
      <c r="R714" s="87"/>
      <c r="S714" s="87"/>
      <c r="T714" s="87"/>
      <c r="U714" s="87"/>
      <c r="V714" s="90" t="str">
        <f t="shared" si="82"/>
        <v>Suroriente</v>
      </c>
      <c r="W714" s="87" t="s">
        <v>108</v>
      </c>
      <c r="X714" s="87"/>
      <c r="Y714" s="87"/>
      <c r="Z714" s="87"/>
      <c r="AA714" s="87"/>
      <c r="AB714" s="87"/>
      <c r="AC714" s="90" t="str">
        <f t="shared" si="83"/>
        <v>Usme Entrenubes</v>
      </c>
      <c r="AD714" s="87" t="s">
        <v>671</v>
      </c>
      <c r="AE714" s="87"/>
      <c r="AF714" s="87"/>
      <c r="AG714" s="87"/>
      <c r="AH714" s="87"/>
      <c r="AI714" s="87"/>
      <c r="AJ714" s="87"/>
      <c r="AK714" s="87"/>
      <c r="AL714" s="87"/>
      <c r="AM714" s="87"/>
      <c r="AN714" s="90" t="s">
        <v>3400</v>
      </c>
      <c r="AO714" s="90" t="s">
        <v>3401</v>
      </c>
      <c r="AP714" s="82"/>
      <c r="AQ714" s="87" t="s">
        <v>59</v>
      </c>
      <c r="AR714" s="87" t="s">
        <v>80</v>
      </c>
      <c r="AS714" s="82"/>
      <c r="AT714" s="87">
        <v>11</v>
      </c>
      <c r="AU714" s="87">
        <v>0</v>
      </c>
      <c r="AV714" s="87">
        <f t="shared" si="103"/>
        <v>11</v>
      </c>
      <c r="AW714" s="87" t="str">
        <f t="shared" si="54"/>
        <v>Ninguna</v>
      </c>
      <c r="AX714" s="87" t="s">
        <v>75</v>
      </c>
      <c r="AY714" s="87"/>
      <c r="AZ714" s="87"/>
      <c r="BA714" s="91" t="s">
        <v>3402</v>
      </c>
      <c r="BB714" s="84"/>
      <c r="BC714" s="85"/>
      <c r="BD714" s="85"/>
    </row>
    <row r="715" spans="1:56" s="86" customFormat="1" ht="46.5" customHeight="1">
      <c r="A715" s="87">
        <v>710</v>
      </c>
      <c r="B715" s="79" t="s">
        <v>3403</v>
      </c>
      <c r="C715" s="88">
        <v>45483</v>
      </c>
      <c r="D715" s="89">
        <v>0.58333333333333337</v>
      </c>
      <c r="E715" s="87" t="s">
        <v>58</v>
      </c>
      <c r="F715" s="87" t="s">
        <v>135</v>
      </c>
      <c r="G715" s="87" t="s">
        <v>62</v>
      </c>
      <c r="H715" s="90" t="s">
        <v>3404</v>
      </c>
      <c r="I715" s="90" t="s">
        <v>64</v>
      </c>
      <c r="J715" s="87" t="s">
        <v>70</v>
      </c>
      <c r="K715" s="87" t="s">
        <v>71</v>
      </c>
      <c r="L715" s="90" t="s">
        <v>72</v>
      </c>
      <c r="M715" s="91" t="s">
        <v>72</v>
      </c>
      <c r="N715" s="90" t="s">
        <v>72</v>
      </c>
      <c r="O715" s="90" t="str">
        <f t="shared" si="79"/>
        <v>Distrital</v>
      </c>
      <c r="P715" s="87" t="s">
        <v>73</v>
      </c>
      <c r="Q715" s="87"/>
      <c r="R715" s="87"/>
      <c r="S715" s="87"/>
      <c r="T715" s="87"/>
      <c r="U715" s="87"/>
      <c r="V715" s="90" t="str">
        <f t="shared" si="82"/>
        <v>Distrital</v>
      </c>
      <c r="W715" s="87" t="s">
        <v>73</v>
      </c>
      <c r="X715" s="87"/>
      <c r="Y715" s="87"/>
      <c r="Z715" s="87"/>
      <c r="AA715" s="87"/>
      <c r="AB715" s="87"/>
      <c r="AC715" s="90" t="str">
        <f t="shared" si="83"/>
        <v>Distrital</v>
      </c>
      <c r="AD715" s="87" t="s">
        <v>73</v>
      </c>
      <c r="AE715" s="87"/>
      <c r="AF715" s="87"/>
      <c r="AG715" s="87"/>
      <c r="AH715" s="87"/>
      <c r="AI715" s="87"/>
      <c r="AJ715" s="87"/>
      <c r="AK715" s="87"/>
      <c r="AL715" s="87"/>
      <c r="AM715" s="87"/>
      <c r="AN715" s="90" t="s">
        <v>160</v>
      </c>
      <c r="AO715" s="90" t="s">
        <v>3405</v>
      </c>
      <c r="AP715" s="82"/>
      <c r="AQ715" s="87" t="s">
        <v>59</v>
      </c>
      <c r="AR715" s="87" t="s">
        <v>80</v>
      </c>
      <c r="AS715" s="82"/>
      <c r="AT715" s="87">
        <v>0</v>
      </c>
      <c r="AU715" s="87">
        <v>12</v>
      </c>
      <c r="AV715" s="87">
        <f t="shared" si="103"/>
        <v>12</v>
      </c>
      <c r="AW715" s="87" t="str">
        <f t="shared" si="54"/>
        <v>Ninguna</v>
      </c>
      <c r="AX715" s="87" t="s">
        <v>75</v>
      </c>
      <c r="AY715" s="87"/>
      <c r="AZ715" s="87"/>
      <c r="BA715" s="91" t="s">
        <v>3406</v>
      </c>
      <c r="BB715" s="84"/>
      <c r="BC715" s="85"/>
      <c r="BD715" s="85"/>
    </row>
    <row r="716" spans="1:56" s="86" customFormat="1" ht="46.5" customHeight="1">
      <c r="A716" s="78">
        <v>711</v>
      </c>
      <c r="B716" s="79" t="s">
        <v>3407</v>
      </c>
      <c r="C716" s="88">
        <v>45483</v>
      </c>
      <c r="D716" s="89">
        <v>0.6875</v>
      </c>
      <c r="E716" s="87" t="s">
        <v>58</v>
      </c>
      <c r="F716" s="87" t="s">
        <v>135</v>
      </c>
      <c r="G716" s="87" t="s">
        <v>95</v>
      </c>
      <c r="H716" s="90" t="s">
        <v>3408</v>
      </c>
      <c r="I716" s="90" t="s">
        <v>64</v>
      </c>
      <c r="J716" s="87" t="s">
        <v>70</v>
      </c>
      <c r="K716" s="87" t="s">
        <v>71</v>
      </c>
      <c r="L716" s="90" t="s">
        <v>3409</v>
      </c>
      <c r="M716" s="91" t="s">
        <v>3410</v>
      </c>
      <c r="N716" s="90" t="s">
        <v>3411</v>
      </c>
      <c r="O716" s="90" t="str">
        <f t="shared" si="79"/>
        <v>Distrital</v>
      </c>
      <c r="P716" s="87" t="s">
        <v>73</v>
      </c>
      <c r="Q716" s="87"/>
      <c r="R716" s="87"/>
      <c r="S716" s="87"/>
      <c r="T716" s="87"/>
      <c r="U716" s="87"/>
      <c r="V716" s="90" t="str">
        <f t="shared" si="82"/>
        <v>Distrital</v>
      </c>
      <c r="W716" s="87" t="s">
        <v>73</v>
      </c>
      <c r="X716" s="87"/>
      <c r="Y716" s="87"/>
      <c r="Z716" s="87"/>
      <c r="AA716" s="87"/>
      <c r="AB716" s="87"/>
      <c r="AC716" s="90" t="str">
        <f t="shared" si="83"/>
        <v>Distrital</v>
      </c>
      <c r="AD716" s="87" t="s">
        <v>73</v>
      </c>
      <c r="AE716" s="87"/>
      <c r="AF716" s="87"/>
      <c r="AG716" s="87"/>
      <c r="AH716" s="87"/>
      <c r="AI716" s="87"/>
      <c r="AJ716" s="87"/>
      <c r="AK716" s="87"/>
      <c r="AL716" s="87"/>
      <c r="AM716" s="87"/>
      <c r="AN716" s="90" t="s">
        <v>160</v>
      </c>
      <c r="AO716" s="90" t="s">
        <v>1947</v>
      </c>
      <c r="AP716" s="82"/>
      <c r="AQ716" s="87" t="s">
        <v>59</v>
      </c>
      <c r="AR716" s="87" t="s">
        <v>80</v>
      </c>
      <c r="AS716" s="82"/>
      <c r="AT716" s="87">
        <v>0</v>
      </c>
      <c r="AU716" s="87">
        <v>3</v>
      </c>
      <c r="AV716" s="87">
        <f t="shared" si="103"/>
        <v>3</v>
      </c>
      <c r="AW716" s="87" t="str">
        <f t="shared" si="54"/>
        <v>Ninguna</v>
      </c>
      <c r="AX716" s="87" t="s">
        <v>75</v>
      </c>
      <c r="AY716" s="87"/>
      <c r="AZ716" s="87"/>
      <c r="BA716" s="91" t="s">
        <v>3412</v>
      </c>
      <c r="BB716" s="84"/>
      <c r="BC716" s="85"/>
      <c r="BD716" s="85"/>
    </row>
    <row r="717" spans="1:56" s="86" customFormat="1" ht="63" customHeight="1">
      <c r="A717" s="87">
        <v>712</v>
      </c>
      <c r="B717" s="79" t="s">
        <v>3413</v>
      </c>
      <c r="C717" s="88">
        <v>45483</v>
      </c>
      <c r="D717" s="89">
        <v>0.70833333333333337</v>
      </c>
      <c r="E717" s="87" t="s">
        <v>58</v>
      </c>
      <c r="F717" s="87" t="s">
        <v>2680</v>
      </c>
      <c r="G717" s="87" t="s">
        <v>62</v>
      </c>
      <c r="H717" s="90" t="s">
        <v>3414</v>
      </c>
      <c r="I717" s="90" t="s">
        <v>128</v>
      </c>
      <c r="J717" s="87" t="s">
        <v>173</v>
      </c>
      <c r="K717" s="87"/>
      <c r="L717" s="90" t="s">
        <v>72</v>
      </c>
      <c r="M717" s="91" t="s">
        <v>72</v>
      </c>
      <c r="N717" s="90" t="s">
        <v>72</v>
      </c>
      <c r="O717" s="90" t="str">
        <f>_xlfn.TEXTJOIN(", ",TRUE,$P717:$T717)</f>
        <v>Kennedy</v>
      </c>
      <c r="P717" s="87" t="s">
        <v>473</v>
      </c>
      <c r="Q717" s="87"/>
      <c r="R717" s="87"/>
      <c r="S717" s="87"/>
      <c r="T717" s="87"/>
      <c r="U717" s="87"/>
      <c r="V717" s="90" t="str">
        <f>_xlfn.TEXTJOIN(", ",TRUE,$W717:$AB717)</f>
        <v>Suroccidente</v>
      </c>
      <c r="W717" s="87" t="s">
        <v>474</v>
      </c>
      <c r="X717" s="87"/>
      <c r="Y717" s="87"/>
      <c r="Z717" s="87"/>
      <c r="AA717" s="87"/>
      <c r="AB717" s="87"/>
      <c r="AC717" s="90" t="str">
        <f>_xlfn.TEXTJOIN(", ",TRUE,$AD717:$AM717)</f>
        <v>Kennedy, Patio Bonito</v>
      </c>
      <c r="AD717" s="87" t="s">
        <v>473</v>
      </c>
      <c r="AE717" s="87" t="s">
        <v>639</v>
      </c>
      <c r="AF717" s="87"/>
      <c r="AG717" s="87"/>
      <c r="AH717" s="87"/>
      <c r="AI717" s="87"/>
      <c r="AJ717" s="87"/>
      <c r="AK717" s="87"/>
      <c r="AL717" s="87"/>
      <c r="AM717" s="87"/>
      <c r="AN717" s="90" t="s">
        <v>160</v>
      </c>
      <c r="AO717" s="90" t="s">
        <v>3415</v>
      </c>
      <c r="AP717" s="82"/>
      <c r="AQ717" s="87" t="s">
        <v>59</v>
      </c>
      <c r="AR717" s="87" t="s">
        <v>80</v>
      </c>
      <c r="AS717" s="82"/>
      <c r="AT717" s="87">
        <v>7</v>
      </c>
      <c r="AU717" s="87">
        <v>5</v>
      </c>
      <c r="AV717" s="87">
        <f>AT717+AU717</f>
        <v>12</v>
      </c>
      <c r="AW717" s="87" t="str">
        <f>_xlfn.TEXTJOIN(", ",TRUE,$AX717:$AZ717)</f>
        <v>Ninguna</v>
      </c>
      <c r="AX717" s="87" t="s">
        <v>75</v>
      </c>
      <c r="AY717" s="87"/>
      <c r="AZ717" s="87"/>
      <c r="BA717" s="91" t="s">
        <v>3416</v>
      </c>
      <c r="BB717" s="84"/>
      <c r="BC717" s="85"/>
      <c r="BD717" s="85"/>
    </row>
    <row r="718" spans="1:56" s="86" customFormat="1" ht="46.5" customHeight="1">
      <c r="A718" s="78">
        <v>713</v>
      </c>
      <c r="B718" s="79" t="s">
        <v>3417</v>
      </c>
      <c r="C718" s="88">
        <v>45484</v>
      </c>
      <c r="D718" s="89">
        <v>0.29166666666666669</v>
      </c>
      <c r="E718" s="87" t="s">
        <v>58</v>
      </c>
      <c r="F718" s="87" t="s">
        <v>1142</v>
      </c>
      <c r="G718" s="87" t="s">
        <v>62</v>
      </c>
      <c r="H718" s="90" t="s">
        <v>3418</v>
      </c>
      <c r="I718" s="90" t="s">
        <v>64</v>
      </c>
      <c r="J718" s="87" t="s">
        <v>70</v>
      </c>
      <c r="K718" s="87" t="s">
        <v>71</v>
      </c>
      <c r="L718" s="90" t="s">
        <v>794</v>
      </c>
      <c r="M718" s="91" t="s">
        <v>3419</v>
      </c>
      <c r="N718" s="90" t="s">
        <v>3420</v>
      </c>
      <c r="O718" s="90" t="str">
        <f>_xlfn.TEXTJOIN(", ",TRUE,$P718:$T718)</f>
        <v>Distrital</v>
      </c>
      <c r="P718" s="87" t="s">
        <v>73</v>
      </c>
      <c r="Q718" s="87"/>
      <c r="R718" s="87"/>
      <c r="S718" s="87"/>
      <c r="T718" s="87"/>
      <c r="U718" s="87"/>
      <c r="V718" s="90" t="str">
        <f>_xlfn.TEXTJOIN(", ",TRUE,$W718:$AB718)</f>
        <v>Distrital</v>
      </c>
      <c r="W718" s="87" t="s">
        <v>73</v>
      </c>
      <c r="X718" s="87"/>
      <c r="Y718" s="87"/>
      <c r="Z718" s="87"/>
      <c r="AA718" s="87"/>
      <c r="AB718" s="87"/>
      <c r="AC718" s="90" t="str">
        <f>_xlfn.TEXTJOIN(", ",TRUE,$AD718:$AM718)</f>
        <v>Distrital</v>
      </c>
      <c r="AD718" s="87" t="s">
        <v>73</v>
      </c>
      <c r="AE718" s="87"/>
      <c r="AF718" s="87"/>
      <c r="AG718" s="87"/>
      <c r="AH718" s="87"/>
      <c r="AI718" s="87"/>
      <c r="AJ718" s="87"/>
      <c r="AK718" s="87"/>
      <c r="AL718" s="87"/>
      <c r="AM718" s="87"/>
      <c r="AN718" s="90" t="s">
        <v>3421</v>
      </c>
      <c r="AO718" s="102" t="s">
        <v>2638</v>
      </c>
      <c r="AP718" s="82"/>
      <c r="AQ718" s="87" t="s">
        <v>59</v>
      </c>
      <c r="AR718" s="87" t="s">
        <v>80</v>
      </c>
      <c r="AS718" s="82"/>
      <c r="AT718" s="87">
        <v>2</v>
      </c>
      <c r="AU718" s="87">
        <v>2</v>
      </c>
      <c r="AV718" s="87">
        <f>AT718+AU718</f>
        <v>4</v>
      </c>
      <c r="AW718" s="87" t="str">
        <f>_xlfn.TEXTJOIN(", ",TRUE,$AX718:$AZ718)</f>
        <v>Ninguna</v>
      </c>
      <c r="AX718" s="87" t="s">
        <v>75</v>
      </c>
      <c r="AY718" s="87"/>
      <c r="AZ718" s="87"/>
      <c r="BA718" s="91" t="s">
        <v>3422</v>
      </c>
      <c r="BB718" s="84"/>
      <c r="BC718" s="85"/>
      <c r="BD718" s="85"/>
    </row>
    <row r="719" spans="1:56" s="86" customFormat="1" ht="46.5" customHeight="1">
      <c r="A719" s="87">
        <v>714</v>
      </c>
      <c r="B719" s="79" t="s">
        <v>3423</v>
      </c>
      <c r="C719" s="88">
        <v>45484</v>
      </c>
      <c r="D719" s="89">
        <v>0.29166666666666669</v>
      </c>
      <c r="E719" s="87" t="s">
        <v>58</v>
      </c>
      <c r="F719" s="87" t="s">
        <v>135</v>
      </c>
      <c r="G719" s="87" t="s">
        <v>95</v>
      </c>
      <c r="H719" s="90" t="s">
        <v>3154</v>
      </c>
      <c r="I719" s="90" t="s">
        <v>64</v>
      </c>
      <c r="J719" s="87" t="s">
        <v>70</v>
      </c>
      <c r="K719" s="87" t="s">
        <v>71</v>
      </c>
      <c r="L719" s="90" t="s">
        <v>72</v>
      </c>
      <c r="M719" s="91" t="s">
        <v>72</v>
      </c>
      <c r="N719" s="90" t="s">
        <v>72</v>
      </c>
      <c r="O719" s="90" t="str">
        <f t="shared" si="79"/>
        <v>Distrital</v>
      </c>
      <c r="P719" s="87" t="s">
        <v>73</v>
      </c>
      <c r="Q719" s="87"/>
      <c r="R719" s="87"/>
      <c r="S719" s="87"/>
      <c r="T719" s="87"/>
      <c r="U719" s="87"/>
      <c r="V719" s="90" t="str">
        <f>_xlfn.TEXTJOIN(", ",TRUE,$W719:$AB719)</f>
        <v>Distrital</v>
      </c>
      <c r="W719" s="87" t="s">
        <v>73</v>
      </c>
      <c r="X719" s="87"/>
      <c r="Y719" s="87"/>
      <c r="Z719" s="87"/>
      <c r="AA719" s="87"/>
      <c r="AB719" s="87"/>
      <c r="AC719" s="90" t="str">
        <f>_xlfn.TEXTJOIN(", ",TRUE,$AD719:$AM719)</f>
        <v>Distrital</v>
      </c>
      <c r="AD719" s="87" t="s">
        <v>73</v>
      </c>
      <c r="AE719" s="87"/>
      <c r="AF719" s="87"/>
      <c r="AG719" s="87"/>
      <c r="AH719" s="87"/>
      <c r="AI719" s="87"/>
      <c r="AJ719" s="87"/>
      <c r="AK719" s="87"/>
      <c r="AL719" s="87"/>
      <c r="AM719" s="87"/>
      <c r="AN719" s="90" t="s">
        <v>160</v>
      </c>
      <c r="AO719" s="105" t="s">
        <v>2638</v>
      </c>
      <c r="AP719" s="82"/>
      <c r="AQ719" s="87" t="s">
        <v>59</v>
      </c>
      <c r="AR719" s="87" t="s">
        <v>80</v>
      </c>
      <c r="AS719" s="82"/>
      <c r="AT719" s="87">
        <v>0</v>
      </c>
      <c r="AU719" s="87">
        <v>20</v>
      </c>
      <c r="AV719" s="87">
        <f t="shared" ref="AV719" si="123">AT719+AU719</f>
        <v>20</v>
      </c>
      <c r="AW719" s="87" t="str">
        <f t="shared" si="54"/>
        <v>Ninguna</v>
      </c>
      <c r="AX719" s="87" t="s">
        <v>75</v>
      </c>
      <c r="AY719" s="87"/>
      <c r="AZ719" s="87"/>
      <c r="BA719" s="91" t="s">
        <v>3424</v>
      </c>
      <c r="BB719" s="84"/>
      <c r="BC719" s="85"/>
      <c r="BD719" s="85"/>
    </row>
    <row r="720" spans="1:56" s="86" customFormat="1" ht="46.5" customHeight="1">
      <c r="A720" s="78">
        <v>715</v>
      </c>
      <c r="B720" s="79" t="s">
        <v>699</v>
      </c>
      <c r="C720" s="88">
        <v>45484</v>
      </c>
      <c r="D720" s="89">
        <v>0.35416666666666669</v>
      </c>
      <c r="E720" s="87" t="s">
        <v>93</v>
      </c>
      <c r="F720" s="87" t="s">
        <v>321</v>
      </c>
      <c r="G720" s="87" t="s">
        <v>62</v>
      </c>
      <c r="H720" s="90" t="s">
        <v>1373</v>
      </c>
      <c r="I720" s="90" t="s">
        <v>118</v>
      </c>
      <c r="J720" s="87" t="s">
        <v>70</v>
      </c>
      <c r="K720" s="87" t="s">
        <v>1810</v>
      </c>
      <c r="L720" s="90" t="s">
        <v>1374</v>
      </c>
      <c r="M720" s="91" t="s">
        <v>3425</v>
      </c>
      <c r="N720" s="90" t="s">
        <v>703</v>
      </c>
      <c r="O720" s="90" t="str">
        <f t="shared" si="79"/>
        <v>Bosa</v>
      </c>
      <c r="P720" s="87" t="s">
        <v>472</v>
      </c>
      <c r="Q720" s="87"/>
      <c r="R720" s="87"/>
      <c r="S720" s="87"/>
      <c r="T720" s="87"/>
      <c r="U720" s="87"/>
      <c r="V720" s="90" t="str">
        <f t="shared" si="82"/>
        <v>Suroccidente</v>
      </c>
      <c r="W720" s="87" t="s">
        <v>474</v>
      </c>
      <c r="X720" s="87"/>
      <c r="Y720" s="87"/>
      <c r="Z720" s="87"/>
      <c r="AA720" s="87"/>
      <c r="AB720" s="87"/>
      <c r="AC720" s="90" t="str">
        <f t="shared" si="83"/>
        <v>Bosa</v>
      </c>
      <c r="AD720" s="87" t="s">
        <v>472</v>
      </c>
      <c r="AE720" s="87"/>
      <c r="AF720" s="87"/>
      <c r="AG720" s="87"/>
      <c r="AH720" s="87"/>
      <c r="AI720" s="87"/>
      <c r="AJ720" s="87"/>
      <c r="AK720" s="87"/>
      <c r="AL720" s="87"/>
      <c r="AM720" s="87"/>
      <c r="AN720" s="90" t="s">
        <v>472</v>
      </c>
      <c r="AO720" s="90" t="s">
        <v>3426</v>
      </c>
      <c r="AP720" s="82"/>
      <c r="AQ720" s="87" t="s">
        <v>59</v>
      </c>
      <c r="AR720" s="87" t="s">
        <v>80</v>
      </c>
      <c r="AS720" s="82"/>
      <c r="AT720" s="87">
        <v>20</v>
      </c>
      <c r="AU720" s="87">
        <v>1</v>
      </c>
      <c r="AV720" s="87">
        <f t="shared" si="103"/>
        <v>21</v>
      </c>
      <c r="AW720" s="87" t="str">
        <f t="shared" si="54"/>
        <v>Ninguna</v>
      </c>
      <c r="AX720" s="87" t="s">
        <v>75</v>
      </c>
      <c r="AY720" s="87"/>
      <c r="AZ720" s="87"/>
      <c r="BA720" s="91" t="s">
        <v>3427</v>
      </c>
      <c r="BB720" s="84"/>
      <c r="BC720" s="85"/>
      <c r="BD720" s="85"/>
    </row>
    <row r="721" spans="1:56" s="86" customFormat="1" ht="87" customHeight="1">
      <c r="A721" s="87">
        <v>716</v>
      </c>
      <c r="B721" s="79" t="s">
        <v>3428</v>
      </c>
      <c r="C721" s="88">
        <v>45484</v>
      </c>
      <c r="D721" s="89">
        <v>0.375</v>
      </c>
      <c r="E721" s="87" t="s">
        <v>93</v>
      </c>
      <c r="F721" s="87" t="s">
        <v>102</v>
      </c>
      <c r="G721" s="87" t="s">
        <v>62</v>
      </c>
      <c r="H721" s="90" t="s">
        <v>3429</v>
      </c>
      <c r="I721" s="90" t="s">
        <v>118</v>
      </c>
      <c r="J721" s="87" t="s">
        <v>119</v>
      </c>
      <c r="K721" s="87" t="s">
        <v>129</v>
      </c>
      <c r="L721" s="90" t="s">
        <v>3430</v>
      </c>
      <c r="M721" s="91" t="s">
        <v>3431</v>
      </c>
      <c r="N721" s="90" t="s">
        <v>3432</v>
      </c>
      <c r="O721" s="90" t="str">
        <f>_xlfn.TEXTJOIN(", ",TRUE,$P721:$T721)</f>
        <v>Distrital</v>
      </c>
      <c r="P721" s="87" t="s">
        <v>73</v>
      </c>
      <c r="Q721" s="87"/>
      <c r="R721" s="87"/>
      <c r="S721" s="87"/>
      <c r="T721" s="87"/>
      <c r="U721" s="87"/>
      <c r="V721" s="90" t="str">
        <f>_xlfn.TEXTJOIN(", ",TRUE,$W721:$AB721)</f>
        <v>Distrital</v>
      </c>
      <c r="W721" s="87" t="s">
        <v>73</v>
      </c>
      <c r="X721" s="87"/>
      <c r="Y721" s="87"/>
      <c r="Z721" s="87"/>
      <c r="AA721" s="87"/>
      <c r="AB721" s="87"/>
      <c r="AC721" s="90" t="str">
        <f>_xlfn.TEXTJOIN(", ",TRUE,$AD721:$AM721)</f>
        <v>Distrital</v>
      </c>
      <c r="AD721" s="87" t="s">
        <v>73</v>
      </c>
      <c r="AE721" s="87"/>
      <c r="AF721" s="87"/>
      <c r="AG721" s="87"/>
      <c r="AH721" s="87"/>
      <c r="AI721" s="87"/>
      <c r="AJ721" s="87"/>
      <c r="AK721" s="87"/>
      <c r="AL721" s="87"/>
      <c r="AM721" s="87"/>
      <c r="AN721" s="90" t="s">
        <v>160</v>
      </c>
      <c r="AO721" s="90" t="s">
        <v>3433</v>
      </c>
      <c r="AP721" s="82"/>
      <c r="AQ721" s="87" t="s">
        <v>59</v>
      </c>
      <c r="AR721" s="87" t="s">
        <v>80</v>
      </c>
      <c r="AS721" s="82"/>
      <c r="AT721" s="87">
        <v>19</v>
      </c>
      <c r="AU721" s="87">
        <v>7</v>
      </c>
      <c r="AV721" s="87">
        <f>AT721+AU721</f>
        <v>26</v>
      </c>
      <c r="AW721" s="87" t="str">
        <f>_xlfn.TEXTJOIN(", ",TRUE,$AX721:$AZ721)</f>
        <v>Ninguna</v>
      </c>
      <c r="AX721" s="87" t="s">
        <v>75</v>
      </c>
      <c r="AY721" s="87"/>
      <c r="AZ721" s="87"/>
      <c r="BA721" s="91" t="s">
        <v>3434</v>
      </c>
      <c r="BB721" s="84"/>
      <c r="BC721" s="85"/>
      <c r="BD721" s="85"/>
    </row>
    <row r="722" spans="1:56" s="86" customFormat="1" ht="44.25" customHeight="1">
      <c r="A722" s="78">
        <v>717</v>
      </c>
      <c r="B722" s="79" t="s">
        <v>2006</v>
      </c>
      <c r="C722" s="88">
        <v>45484</v>
      </c>
      <c r="D722" s="89">
        <v>0.41666666666666669</v>
      </c>
      <c r="E722" s="87" t="s">
        <v>93</v>
      </c>
      <c r="F722" s="87" t="s">
        <v>321</v>
      </c>
      <c r="G722" s="87" t="s">
        <v>62</v>
      </c>
      <c r="H722" s="90" t="s">
        <v>3435</v>
      </c>
      <c r="I722" s="90" t="s">
        <v>64</v>
      </c>
      <c r="J722" s="87" t="s">
        <v>70</v>
      </c>
      <c r="K722" s="87" t="s">
        <v>71</v>
      </c>
      <c r="L722" s="90" t="s">
        <v>2618</v>
      </c>
      <c r="M722" s="91" t="s">
        <v>3436</v>
      </c>
      <c r="N722" s="90" t="s">
        <v>2619</v>
      </c>
      <c r="O722" s="90" t="str">
        <f t="shared" ref="O722" si="124">_xlfn.TEXTJOIN(", ",TRUE,$P722:$T722)</f>
        <v>Barrios Unidos</v>
      </c>
      <c r="P722" s="87" t="s">
        <v>686</v>
      </c>
      <c r="Q722" s="87"/>
      <c r="R722" s="87"/>
      <c r="S722" s="87"/>
      <c r="T722" s="87"/>
      <c r="U722" s="87"/>
      <c r="V722" s="90" t="str">
        <f t="shared" ref="V722" si="125">_xlfn.TEXTJOIN(", ",TRUE,$W722:$AB722)</f>
        <v>Centro Ampliado</v>
      </c>
      <c r="W722" s="87" t="s">
        <v>415</v>
      </c>
      <c r="X722" s="87"/>
      <c r="Y722" s="87"/>
      <c r="Z722" s="87"/>
      <c r="AA722" s="87"/>
      <c r="AB722" s="87"/>
      <c r="AC722" s="90" t="str">
        <f t="shared" ref="AC722" si="126">_xlfn.TEXTJOIN(", ",TRUE,$AD722:$AM722)</f>
        <v>Barrios Unidos</v>
      </c>
      <c r="AD722" s="87" t="s">
        <v>686</v>
      </c>
      <c r="AE722" s="87"/>
      <c r="AF722" s="87"/>
      <c r="AG722" s="87"/>
      <c r="AH722" s="87"/>
      <c r="AI722" s="87"/>
      <c r="AJ722" s="87"/>
      <c r="AK722" s="87"/>
      <c r="AL722" s="87"/>
      <c r="AM722" s="87"/>
      <c r="AN722" s="90" t="s">
        <v>3437</v>
      </c>
      <c r="AO722" s="90" t="s">
        <v>3438</v>
      </c>
      <c r="AP722" s="82"/>
      <c r="AQ722" s="87" t="s">
        <v>59</v>
      </c>
      <c r="AR722" s="87" t="s">
        <v>80</v>
      </c>
      <c r="AS722" s="82"/>
      <c r="AT722" s="87">
        <v>16</v>
      </c>
      <c r="AU722" s="87">
        <v>1</v>
      </c>
      <c r="AV722" s="87">
        <f t="shared" ref="AV722" si="127">AT722+AU722</f>
        <v>17</v>
      </c>
      <c r="AW722" s="87" t="str">
        <f t="shared" si="54"/>
        <v>Ninguna</v>
      </c>
      <c r="AX722" s="87" t="s">
        <v>75</v>
      </c>
      <c r="AY722" s="87"/>
      <c r="AZ722" s="87"/>
      <c r="BA722" s="91" t="s">
        <v>3439</v>
      </c>
      <c r="BB722" s="84"/>
      <c r="BC722" s="85"/>
      <c r="BD722" s="85"/>
    </row>
    <row r="723" spans="1:56" s="86" customFormat="1" ht="46.5" customHeight="1">
      <c r="A723" s="87">
        <v>718</v>
      </c>
      <c r="B723" s="79" t="s">
        <v>3440</v>
      </c>
      <c r="C723" s="88">
        <v>45484</v>
      </c>
      <c r="D723" s="89">
        <v>0.625</v>
      </c>
      <c r="E723" s="87" t="s">
        <v>58</v>
      </c>
      <c r="F723" s="87" t="s">
        <v>2227</v>
      </c>
      <c r="G723" s="87" t="s">
        <v>62</v>
      </c>
      <c r="H723" s="90" t="s">
        <v>3441</v>
      </c>
      <c r="I723" s="90" t="s">
        <v>188</v>
      </c>
      <c r="J723" s="87" t="s">
        <v>173</v>
      </c>
      <c r="K723" s="87"/>
      <c r="L723" s="90" t="s">
        <v>121</v>
      </c>
      <c r="M723" s="91" t="s">
        <v>2786</v>
      </c>
      <c r="N723" s="90" t="s">
        <v>2257</v>
      </c>
      <c r="O723" s="90" t="str">
        <f t="shared" si="79"/>
        <v>Barrios Unidos</v>
      </c>
      <c r="P723" s="87" t="s">
        <v>686</v>
      </c>
      <c r="Q723" s="87"/>
      <c r="R723" s="87"/>
      <c r="S723" s="87"/>
      <c r="T723" s="87"/>
      <c r="U723" s="87"/>
      <c r="V723" s="90" t="str">
        <f t="shared" si="82"/>
        <v>Centro Ampliado</v>
      </c>
      <c r="W723" s="87" t="s">
        <v>415</v>
      </c>
      <c r="X723" s="87"/>
      <c r="Y723" s="87"/>
      <c r="Z723" s="87"/>
      <c r="AA723" s="87"/>
      <c r="AB723" s="87"/>
      <c r="AC723" s="90" t="str">
        <f t="shared" si="83"/>
        <v>Barrios Unidos</v>
      </c>
      <c r="AD723" s="87" t="s">
        <v>686</v>
      </c>
      <c r="AE723" s="87"/>
      <c r="AF723" s="87"/>
      <c r="AG723" s="87"/>
      <c r="AH723" s="87"/>
      <c r="AI723" s="87"/>
      <c r="AJ723" s="87"/>
      <c r="AK723" s="87"/>
      <c r="AL723" s="87"/>
      <c r="AM723" s="87"/>
      <c r="AN723" s="90" t="s">
        <v>3442</v>
      </c>
      <c r="AO723" s="90" t="s">
        <v>3443</v>
      </c>
      <c r="AP723" s="82"/>
      <c r="AQ723" s="87" t="s">
        <v>59</v>
      </c>
      <c r="AR723" s="87" t="s">
        <v>80</v>
      </c>
      <c r="AS723" s="82"/>
      <c r="AT723" s="87">
        <v>27</v>
      </c>
      <c r="AU723" s="87">
        <v>12</v>
      </c>
      <c r="AV723" s="87">
        <f t="shared" si="103"/>
        <v>39</v>
      </c>
      <c r="AW723" s="87" t="str">
        <f t="shared" si="54"/>
        <v>Contenidos adaptados, Horarios Acordes, Accesibilidad Universal</v>
      </c>
      <c r="AX723" s="87" t="s">
        <v>212</v>
      </c>
      <c r="AY723" s="87" t="s">
        <v>213</v>
      </c>
      <c r="AZ723" s="87" t="s">
        <v>246</v>
      </c>
      <c r="BA723" s="91" t="s">
        <v>3444</v>
      </c>
      <c r="BB723" s="84"/>
      <c r="BC723" s="85"/>
      <c r="BD723" s="85"/>
    </row>
    <row r="724" spans="1:56" s="86" customFormat="1" ht="46.5" customHeight="1">
      <c r="A724" s="78">
        <v>719</v>
      </c>
      <c r="B724" s="79" t="s">
        <v>3445</v>
      </c>
      <c r="C724" s="88">
        <v>45484</v>
      </c>
      <c r="D724" s="89">
        <v>0.70833333333333337</v>
      </c>
      <c r="E724" s="87" t="s">
        <v>58</v>
      </c>
      <c r="F724" s="87" t="s">
        <v>116</v>
      </c>
      <c r="G724" s="87" t="s">
        <v>62</v>
      </c>
      <c r="H724" s="90" t="s">
        <v>3446</v>
      </c>
      <c r="I724" s="90" t="s">
        <v>118</v>
      </c>
      <c r="J724" s="87" t="s">
        <v>173</v>
      </c>
      <c r="K724" s="87"/>
      <c r="L724" s="90" t="s">
        <v>2151</v>
      </c>
      <c r="M724" s="91" t="s">
        <v>3368</v>
      </c>
      <c r="N724" s="90" t="s">
        <v>2152</v>
      </c>
      <c r="O724" s="90" t="str">
        <f t="shared" si="79"/>
        <v>Barrios Unidos</v>
      </c>
      <c r="P724" s="87" t="s">
        <v>686</v>
      </c>
      <c r="Q724" s="87"/>
      <c r="R724" s="87"/>
      <c r="S724" s="87"/>
      <c r="T724" s="87"/>
      <c r="U724" s="87"/>
      <c r="V724" s="90" t="str">
        <f t="shared" si="82"/>
        <v>Centro Ampliado</v>
      </c>
      <c r="W724" s="87" t="s">
        <v>415</v>
      </c>
      <c r="X724" s="87"/>
      <c r="Y724" s="87"/>
      <c r="Z724" s="87"/>
      <c r="AA724" s="87"/>
      <c r="AB724" s="87"/>
      <c r="AC724" s="90" t="str">
        <f t="shared" si="83"/>
        <v>Barrios Unidos</v>
      </c>
      <c r="AD724" s="87" t="s">
        <v>686</v>
      </c>
      <c r="AE724" s="87"/>
      <c r="AF724" s="87"/>
      <c r="AG724" s="87"/>
      <c r="AH724" s="87"/>
      <c r="AI724" s="87"/>
      <c r="AJ724" s="87"/>
      <c r="AK724" s="87"/>
      <c r="AL724" s="87"/>
      <c r="AM724" s="87"/>
      <c r="AN724" s="90" t="s">
        <v>3447</v>
      </c>
      <c r="AO724" s="90" t="s">
        <v>3448</v>
      </c>
      <c r="AP724" s="82"/>
      <c r="AQ724" s="87" t="s">
        <v>59</v>
      </c>
      <c r="AR724" s="87" t="s">
        <v>80</v>
      </c>
      <c r="AS724" s="82"/>
      <c r="AT724" s="87">
        <v>17</v>
      </c>
      <c r="AU724" s="87">
        <v>1</v>
      </c>
      <c r="AV724" s="87">
        <f t="shared" si="103"/>
        <v>18</v>
      </c>
      <c r="AW724" s="87" t="str">
        <f t="shared" si="54"/>
        <v>Ninguna</v>
      </c>
      <c r="AX724" s="87" t="s">
        <v>75</v>
      </c>
      <c r="AY724" s="87"/>
      <c r="AZ724" s="87"/>
      <c r="BA724" s="91" t="s">
        <v>3449</v>
      </c>
      <c r="BB724" s="84"/>
      <c r="BC724" s="85"/>
      <c r="BD724" s="85"/>
    </row>
    <row r="725" spans="1:56" s="86" customFormat="1" ht="46.5" customHeight="1">
      <c r="A725" s="87">
        <v>720</v>
      </c>
      <c r="B725" s="79" t="s">
        <v>3450</v>
      </c>
      <c r="C725" s="88">
        <v>45484</v>
      </c>
      <c r="D725" s="89">
        <v>0.70833333333333337</v>
      </c>
      <c r="E725" s="87" t="s">
        <v>93</v>
      </c>
      <c r="F725" s="87" t="s">
        <v>102</v>
      </c>
      <c r="G725" s="87" t="s">
        <v>95</v>
      </c>
      <c r="H725" s="90" t="s">
        <v>3451</v>
      </c>
      <c r="I725" s="90" t="s">
        <v>118</v>
      </c>
      <c r="J725" s="87" t="s">
        <v>119</v>
      </c>
      <c r="K725" s="87" t="s">
        <v>129</v>
      </c>
      <c r="L725" s="90" t="s">
        <v>3452</v>
      </c>
      <c r="M725" s="91" t="s">
        <v>3012</v>
      </c>
      <c r="N725" s="90" t="s">
        <v>439</v>
      </c>
      <c r="O725" s="90" t="str">
        <f t="shared" si="79"/>
        <v>Distrital</v>
      </c>
      <c r="P725" s="87" t="s">
        <v>73</v>
      </c>
      <c r="Q725" s="87"/>
      <c r="R725" s="87"/>
      <c r="S725" s="87"/>
      <c r="T725" s="87"/>
      <c r="U725" s="87"/>
      <c r="V725" s="90" t="str">
        <f t="shared" si="82"/>
        <v>Distrital</v>
      </c>
      <c r="W725" s="87" t="s">
        <v>73</v>
      </c>
      <c r="X725" s="87"/>
      <c r="Y725" s="87"/>
      <c r="Z725" s="87"/>
      <c r="AA725" s="87"/>
      <c r="AB725" s="87"/>
      <c r="AC725" s="90" t="str">
        <f t="shared" si="83"/>
        <v>Distrital</v>
      </c>
      <c r="AD725" s="87" t="s">
        <v>73</v>
      </c>
      <c r="AE725" s="87"/>
      <c r="AF725" s="87"/>
      <c r="AG725" s="87"/>
      <c r="AH725" s="87"/>
      <c r="AI725" s="87"/>
      <c r="AJ725" s="87"/>
      <c r="AK725" s="87"/>
      <c r="AL725" s="87"/>
      <c r="AM725" s="87"/>
      <c r="AN725" s="90" t="s">
        <v>160</v>
      </c>
      <c r="AO725" s="102" t="s">
        <v>2638</v>
      </c>
      <c r="AP725" s="82"/>
      <c r="AQ725" s="87" t="s">
        <v>59</v>
      </c>
      <c r="AR725" s="87" t="s">
        <v>80</v>
      </c>
      <c r="AS725" s="82"/>
      <c r="AT725" s="87">
        <v>25</v>
      </c>
      <c r="AU725" s="87">
        <v>2</v>
      </c>
      <c r="AV725" s="87">
        <f t="shared" si="103"/>
        <v>27</v>
      </c>
      <c r="AW725" s="87" t="str">
        <f t="shared" si="54"/>
        <v>Ninguna</v>
      </c>
      <c r="AX725" s="87" t="s">
        <v>75</v>
      </c>
      <c r="AY725" s="87"/>
      <c r="AZ725" s="87"/>
      <c r="BA725" s="91" t="s">
        <v>3453</v>
      </c>
      <c r="BB725" s="84"/>
      <c r="BC725" s="85"/>
      <c r="BD725" s="85"/>
    </row>
    <row r="726" spans="1:56" s="86" customFormat="1" ht="60.75" customHeight="1">
      <c r="A726" s="78">
        <v>721</v>
      </c>
      <c r="B726" s="79" t="s">
        <v>3454</v>
      </c>
      <c r="C726" s="88">
        <v>45484</v>
      </c>
      <c r="D726" s="89">
        <v>0.77777777777777779</v>
      </c>
      <c r="E726" s="87" t="s">
        <v>58</v>
      </c>
      <c r="F726" s="87" t="s">
        <v>2680</v>
      </c>
      <c r="G726" s="87" t="s">
        <v>62</v>
      </c>
      <c r="H726" s="90" t="s">
        <v>3455</v>
      </c>
      <c r="I726" s="90" t="s">
        <v>128</v>
      </c>
      <c r="J726" s="87" t="s">
        <v>119</v>
      </c>
      <c r="K726" s="87" t="s">
        <v>120</v>
      </c>
      <c r="L726" s="90" t="s">
        <v>3456</v>
      </c>
      <c r="M726" s="91" t="s">
        <v>3457</v>
      </c>
      <c r="N726" s="90" t="s">
        <v>3458</v>
      </c>
      <c r="O726" s="90" t="str">
        <f t="shared" si="79"/>
        <v>Antonio Nariño</v>
      </c>
      <c r="P726" s="87" t="s">
        <v>413</v>
      </c>
      <c r="Q726" s="87"/>
      <c r="R726" s="87"/>
      <c r="S726" s="87"/>
      <c r="T726" s="87"/>
      <c r="U726" s="87"/>
      <c r="V726" s="90" t="str">
        <f t="shared" si="82"/>
        <v>Centro Ampliado</v>
      </c>
      <c r="W726" s="87" t="s">
        <v>415</v>
      </c>
      <c r="X726" s="87"/>
      <c r="Y726" s="87"/>
      <c r="Z726" s="87"/>
      <c r="AA726" s="87"/>
      <c r="AB726" s="87"/>
      <c r="AC726" s="90" t="str">
        <f t="shared" si="83"/>
        <v>Restrepo</v>
      </c>
      <c r="AD726" s="87" t="s">
        <v>416</v>
      </c>
      <c r="AE726" s="87"/>
      <c r="AF726" s="87"/>
      <c r="AG726" s="87"/>
      <c r="AH726" s="87"/>
      <c r="AI726" s="87"/>
      <c r="AJ726" s="87"/>
      <c r="AK726" s="87"/>
      <c r="AL726" s="87"/>
      <c r="AM726" s="87"/>
      <c r="AN726" s="90" t="s">
        <v>3459</v>
      </c>
      <c r="AO726" s="90" t="s">
        <v>3460</v>
      </c>
      <c r="AP726" s="82"/>
      <c r="AQ726" s="87" t="s">
        <v>59</v>
      </c>
      <c r="AR726" s="87" t="s">
        <v>80</v>
      </c>
      <c r="AS726" s="82"/>
      <c r="AT726" s="87">
        <v>8</v>
      </c>
      <c r="AU726" s="87">
        <v>1</v>
      </c>
      <c r="AV726" s="87">
        <f t="shared" si="103"/>
        <v>9</v>
      </c>
      <c r="AW726" s="87" t="str">
        <f t="shared" si="54"/>
        <v>Accesibilidad Universal, Contenidos adaptados, Horarios Acordes</v>
      </c>
      <c r="AX726" s="87" t="s">
        <v>246</v>
      </c>
      <c r="AY726" s="87" t="s">
        <v>212</v>
      </c>
      <c r="AZ726" s="87" t="s">
        <v>213</v>
      </c>
      <c r="BA726" s="91" t="s">
        <v>3461</v>
      </c>
      <c r="BB726" s="84"/>
      <c r="BC726" s="85"/>
      <c r="BD726" s="85"/>
    </row>
    <row r="727" spans="1:56" s="86" customFormat="1" ht="60.75" customHeight="1">
      <c r="A727" s="87">
        <v>722</v>
      </c>
      <c r="B727" s="79" t="s">
        <v>3462</v>
      </c>
      <c r="C727" s="88">
        <v>45485</v>
      </c>
      <c r="D727" s="89">
        <v>0.41666666666666669</v>
      </c>
      <c r="E727" s="87" t="s">
        <v>58</v>
      </c>
      <c r="F727" s="87" t="s">
        <v>135</v>
      </c>
      <c r="G727" s="87" t="s">
        <v>62</v>
      </c>
      <c r="H727" s="90" t="s">
        <v>3463</v>
      </c>
      <c r="I727" s="90" t="s">
        <v>64</v>
      </c>
      <c r="J727" s="87" t="s">
        <v>70</v>
      </c>
      <c r="K727" s="87" t="s">
        <v>71</v>
      </c>
      <c r="L727" s="90" t="s">
        <v>3464</v>
      </c>
      <c r="M727" s="91">
        <v>3115096317</v>
      </c>
      <c r="N727" s="90" t="s">
        <v>3465</v>
      </c>
      <c r="O727" s="90" t="str">
        <f t="shared" si="79"/>
        <v>Distrital</v>
      </c>
      <c r="P727" s="87" t="s">
        <v>73</v>
      </c>
      <c r="Q727" s="87"/>
      <c r="R727" s="87"/>
      <c r="S727" s="87"/>
      <c r="T727" s="87"/>
      <c r="U727" s="87"/>
      <c r="V727" s="90" t="str">
        <f t="shared" si="82"/>
        <v>Distrital</v>
      </c>
      <c r="W727" s="87" t="s">
        <v>73</v>
      </c>
      <c r="X727" s="87"/>
      <c r="Y727" s="87"/>
      <c r="Z727" s="87"/>
      <c r="AA727" s="87"/>
      <c r="AB727" s="87"/>
      <c r="AC727" s="90" t="str">
        <f t="shared" si="83"/>
        <v>Distrital</v>
      </c>
      <c r="AD727" s="87" t="s">
        <v>73</v>
      </c>
      <c r="AE727" s="87"/>
      <c r="AF727" s="87"/>
      <c r="AG727" s="87"/>
      <c r="AH727" s="87"/>
      <c r="AI727" s="87"/>
      <c r="AJ727" s="87"/>
      <c r="AK727" s="87"/>
      <c r="AL727" s="87"/>
      <c r="AM727" s="87"/>
      <c r="AN727" s="90" t="s">
        <v>665</v>
      </c>
      <c r="AO727" s="90" t="s">
        <v>3466</v>
      </c>
      <c r="AP727" s="82"/>
      <c r="AQ727" s="87" t="s">
        <v>59</v>
      </c>
      <c r="AR727" s="87" t="s">
        <v>80</v>
      </c>
      <c r="AS727" s="82"/>
      <c r="AT727" s="87">
        <v>0</v>
      </c>
      <c r="AU727" s="87">
        <v>25</v>
      </c>
      <c r="AV727" s="87">
        <f t="shared" si="103"/>
        <v>25</v>
      </c>
      <c r="AW727" s="87" t="str">
        <f t="shared" si="54"/>
        <v>Ninguna</v>
      </c>
      <c r="AX727" s="87" t="s">
        <v>75</v>
      </c>
      <c r="AY727" s="87"/>
      <c r="AZ727" s="87"/>
      <c r="BA727" s="91" t="s">
        <v>3467</v>
      </c>
      <c r="BB727" s="84"/>
      <c r="BC727" s="85"/>
      <c r="BD727" s="85"/>
    </row>
    <row r="728" spans="1:56" s="86" customFormat="1" ht="46.5" customHeight="1">
      <c r="A728" s="78">
        <v>723</v>
      </c>
      <c r="B728" s="79" t="s">
        <v>3468</v>
      </c>
      <c r="C728" s="88">
        <v>45485</v>
      </c>
      <c r="D728" s="89">
        <v>0.41666666666666669</v>
      </c>
      <c r="E728" s="87" t="s">
        <v>58</v>
      </c>
      <c r="F728" s="87" t="s">
        <v>135</v>
      </c>
      <c r="G728" s="87" t="s">
        <v>62</v>
      </c>
      <c r="H728" s="90" t="s">
        <v>3469</v>
      </c>
      <c r="I728" s="90" t="s">
        <v>64</v>
      </c>
      <c r="J728" s="87" t="s">
        <v>70</v>
      </c>
      <c r="K728" s="87" t="s">
        <v>71</v>
      </c>
      <c r="L728" s="90" t="s">
        <v>3470</v>
      </c>
      <c r="M728" s="91" t="s">
        <v>72</v>
      </c>
      <c r="N728" s="90" t="s">
        <v>3471</v>
      </c>
      <c r="O728" s="90" t="str">
        <f t="shared" si="79"/>
        <v>Distrital</v>
      </c>
      <c r="P728" s="87" t="s">
        <v>73</v>
      </c>
      <c r="Q728" s="87"/>
      <c r="R728" s="87"/>
      <c r="S728" s="87"/>
      <c r="T728" s="87"/>
      <c r="U728" s="87"/>
      <c r="V728" s="90" t="str">
        <f t="shared" si="82"/>
        <v>Distrital</v>
      </c>
      <c r="W728" s="87" t="s">
        <v>73</v>
      </c>
      <c r="X728" s="87"/>
      <c r="Y728" s="87"/>
      <c r="Z728" s="87"/>
      <c r="AA728" s="87"/>
      <c r="AB728" s="87"/>
      <c r="AC728" s="90" t="str">
        <f t="shared" si="83"/>
        <v>Distrital</v>
      </c>
      <c r="AD728" s="87" t="s">
        <v>73</v>
      </c>
      <c r="AE728" s="87"/>
      <c r="AF728" s="87"/>
      <c r="AG728" s="87"/>
      <c r="AH728" s="87"/>
      <c r="AI728" s="87"/>
      <c r="AJ728" s="87"/>
      <c r="AK728" s="87"/>
      <c r="AL728" s="87"/>
      <c r="AM728" s="87"/>
      <c r="AN728" s="90" t="s">
        <v>160</v>
      </c>
      <c r="AO728" s="90" t="s">
        <v>3472</v>
      </c>
      <c r="AP728" s="82"/>
      <c r="AQ728" s="87" t="s">
        <v>59</v>
      </c>
      <c r="AR728" s="87" t="s">
        <v>80</v>
      </c>
      <c r="AS728" s="82"/>
      <c r="AT728" s="87">
        <v>0</v>
      </c>
      <c r="AU728" s="87">
        <v>13</v>
      </c>
      <c r="AV728" s="87">
        <f t="shared" si="103"/>
        <v>13</v>
      </c>
      <c r="AW728" s="87" t="str">
        <f t="shared" si="54"/>
        <v>Ninguna</v>
      </c>
      <c r="AX728" s="87" t="s">
        <v>75</v>
      </c>
      <c r="AY728" s="87"/>
      <c r="AZ728" s="87"/>
      <c r="BA728" s="91" t="s">
        <v>3473</v>
      </c>
      <c r="BB728" s="84"/>
      <c r="BC728" s="85"/>
      <c r="BD728" s="85"/>
    </row>
    <row r="729" spans="1:56" s="86" customFormat="1" ht="46.5" customHeight="1">
      <c r="A729" s="87">
        <v>724</v>
      </c>
      <c r="B729" s="79" t="s">
        <v>1872</v>
      </c>
      <c r="C729" s="88">
        <v>45485</v>
      </c>
      <c r="D729" s="89">
        <v>0.58333333333333337</v>
      </c>
      <c r="E729" s="87" t="s">
        <v>93</v>
      </c>
      <c r="F729" s="87" t="s">
        <v>321</v>
      </c>
      <c r="G729" s="87" t="s">
        <v>62</v>
      </c>
      <c r="H729" s="90" t="s">
        <v>1873</v>
      </c>
      <c r="I729" s="90" t="s">
        <v>118</v>
      </c>
      <c r="J729" s="87" t="s">
        <v>70</v>
      </c>
      <c r="K729" s="87" t="s">
        <v>1810</v>
      </c>
      <c r="L729" s="90" t="s">
        <v>3474</v>
      </c>
      <c r="M729" s="91" t="s">
        <v>3475</v>
      </c>
      <c r="N729" s="90" t="s">
        <v>3476</v>
      </c>
      <c r="O729" s="90" t="str">
        <f>_xlfn.TEXTJOIN(", ",TRUE,$P729:$T729)</f>
        <v>Ciudad Bolívar</v>
      </c>
      <c r="P729" s="87" t="s">
        <v>107</v>
      </c>
      <c r="Q729" s="87"/>
      <c r="R729" s="87"/>
      <c r="S729" s="87"/>
      <c r="T729" s="87"/>
      <c r="U729" s="87"/>
      <c r="V729" s="90" t="str">
        <f>_xlfn.TEXTJOIN(", ",TRUE,$W729:$AB729)</f>
        <v>Suroriente, Ruralidad</v>
      </c>
      <c r="W729" s="87" t="s">
        <v>108</v>
      </c>
      <c r="X729" s="87" t="s">
        <v>109</v>
      </c>
      <c r="Y729" s="87"/>
      <c r="Z729" s="87"/>
      <c r="AA729" s="87"/>
      <c r="AB729" s="87"/>
      <c r="AC729" s="90" t="str">
        <f>_xlfn.TEXTJOIN(", ",TRUE,$AD729:$AM729)</f>
        <v>Arborizadora, Lucero</v>
      </c>
      <c r="AD729" s="87" t="s">
        <v>110</v>
      </c>
      <c r="AE729" s="87" t="s">
        <v>111</v>
      </c>
      <c r="AF729" s="87"/>
      <c r="AG729" s="87"/>
      <c r="AH729" s="87"/>
      <c r="AI729" s="87"/>
      <c r="AJ729" s="87"/>
      <c r="AK729" s="87"/>
      <c r="AL729" s="87"/>
      <c r="AM729" s="87"/>
      <c r="AN729" s="90" t="s">
        <v>1875</v>
      </c>
      <c r="AO729" s="90" t="s">
        <v>3477</v>
      </c>
      <c r="AP729" s="82"/>
      <c r="AQ729" s="87" t="s">
        <v>59</v>
      </c>
      <c r="AR729" s="87" t="s">
        <v>80</v>
      </c>
      <c r="AS729" s="82"/>
      <c r="AT729" s="87">
        <v>11</v>
      </c>
      <c r="AU729" s="87">
        <v>1</v>
      </c>
      <c r="AV729" s="87">
        <f>AT729+AU729</f>
        <v>12</v>
      </c>
      <c r="AW729" s="87" t="str">
        <f>_xlfn.TEXTJOIN(", ",TRUE,$AX729:$AZ729)</f>
        <v>Ninguna</v>
      </c>
      <c r="AX729" s="87" t="s">
        <v>75</v>
      </c>
      <c r="AY729" s="87"/>
      <c r="AZ729" s="87"/>
      <c r="BA729" s="91" t="s">
        <v>1873</v>
      </c>
      <c r="BB729" s="84"/>
      <c r="BC729" s="85"/>
      <c r="BD729" s="85"/>
    </row>
    <row r="730" spans="1:56" s="86" customFormat="1" ht="46.5" customHeight="1">
      <c r="A730" s="78">
        <v>725</v>
      </c>
      <c r="B730" s="79" t="s">
        <v>3478</v>
      </c>
      <c r="C730" s="88">
        <v>45485</v>
      </c>
      <c r="D730" s="89">
        <v>0.60416666666666663</v>
      </c>
      <c r="E730" s="87" t="s">
        <v>58</v>
      </c>
      <c r="F730" s="87" t="s">
        <v>1142</v>
      </c>
      <c r="G730" s="87" t="s">
        <v>62</v>
      </c>
      <c r="H730" s="90" t="s">
        <v>3479</v>
      </c>
      <c r="I730" s="90" t="s">
        <v>118</v>
      </c>
      <c r="J730" s="87" t="s">
        <v>70</v>
      </c>
      <c r="K730" s="87" t="s">
        <v>71</v>
      </c>
      <c r="L730" s="90" t="s">
        <v>3480</v>
      </c>
      <c r="M730" s="91" t="s">
        <v>3481</v>
      </c>
      <c r="N730" s="93" t="s">
        <v>3482</v>
      </c>
      <c r="O730" s="90" t="str">
        <f t="shared" ref="O730" si="128">_xlfn.TEXTJOIN(", ",TRUE,$P730:$T730)</f>
        <v>No Especifica</v>
      </c>
      <c r="P730" s="87" t="s">
        <v>3483</v>
      </c>
      <c r="Q730" s="87"/>
      <c r="R730" s="87"/>
      <c r="S730" s="87"/>
      <c r="T730" s="87"/>
      <c r="U730" s="87"/>
      <c r="V730" s="90" t="str">
        <f t="shared" ref="V730" si="129">_xlfn.TEXTJOIN(", ",TRUE,$W730:$AB730)</f>
        <v>Distrital</v>
      </c>
      <c r="W730" s="87" t="s">
        <v>73</v>
      </c>
      <c r="X730" s="87"/>
      <c r="Y730" s="87"/>
      <c r="Z730" s="87"/>
      <c r="AA730" s="87"/>
      <c r="AB730" s="87"/>
      <c r="AC730" s="90" t="str">
        <f t="shared" ref="AC730" si="130">_xlfn.TEXTJOIN(", ",TRUE,$AD730:$AM730)</f>
        <v>Distrital</v>
      </c>
      <c r="AD730" s="87" t="s">
        <v>73</v>
      </c>
      <c r="AE730" s="87"/>
      <c r="AF730" s="87"/>
      <c r="AG730" s="87"/>
      <c r="AH730" s="87"/>
      <c r="AI730" s="87"/>
      <c r="AJ730" s="87"/>
      <c r="AK730" s="87"/>
      <c r="AL730" s="87"/>
      <c r="AM730" s="87"/>
      <c r="AN730" s="90" t="s">
        <v>160</v>
      </c>
      <c r="AO730" s="90" t="s">
        <v>3484</v>
      </c>
      <c r="AP730" s="82"/>
      <c r="AQ730" s="87" t="s">
        <v>59</v>
      </c>
      <c r="AR730" s="87" t="s">
        <v>80</v>
      </c>
      <c r="AS730" s="82"/>
      <c r="AT730" s="87">
        <v>1</v>
      </c>
      <c r="AU730" s="87">
        <v>11</v>
      </c>
      <c r="AV730" s="87">
        <f t="shared" ref="AV730" si="131">AT730+AU730</f>
        <v>12</v>
      </c>
      <c r="AW730" s="87" t="str">
        <f t="shared" si="54"/>
        <v>Ninguna</v>
      </c>
      <c r="AX730" s="87" t="s">
        <v>75</v>
      </c>
      <c r="AY730" s="87"/>
      <c r="AZ730" s="87"/>
      <c r="BA730" s="91" t="s">
        <v>3485</v>
      </c>
      <c r="BB730" s="84"/>
      <c r="BC730" s="85"/>
      <c r="BD730" s="85"/>
    </row>
    <row r="731" spans="1:56" s="86" customFormat="1" ht="46.5" customHeight="1">
      <c r="A731" s="87">
        <v>726</v>
      </c>
      <c r="B731" s="79" t="s">
        <v>3486</v>
      </c>
      <c r="C731" s="88">
        <v>45485</v>
      </c>
      <c r="D731" s="89">
        <v>0.625</v>
      </c>
      <c r="E731" s="87" t="s">
        <v>58</v>
      </c>
      <c r="F731" s="87" t="s">
        <v>2680</v>
      </c>
      <c r="G731" s="87" t="s">
        <v>62</v>
      </c>
      <c r="H731" s="90" t="s">
        <v>3487</v>
      </c>
      <c r="I731" s="90" t="s">
        <v>128</v>
      </c>
      <c r="J731" s="87" t="s">
        <v>119</v>
      </c>
      <c r="K731" s="87" t="s">
        <v>120</v>
      </c>
      <c r="L731" s="90" t="s">
        <v>3488</v>
      </c>
      <c r="M731" s="91" t="s">
        <v>3489</v>
      </c>
      <c r="N731" s="90" t="s">
        <v>1316</v>
      </c>
      <c r="O731" s="90" t="str">
        <f t="shared" si="79"/>
        <v>Suba</v>
      </c>
      <c r="P731" s="87" t="s">
        <v>394</v>
      </c>
      <c r="Q731" s="87"/>
      <c r="R731" s="87"/>
      <c r="S731" s="87"/>
      <c r="T731" s="87"/>
      <c r="U731" s="87"/>
      <c r="V731" s="90" t="str">
        <f t="shared" si="82"/>
        <v>Noroccidente</v>
      </c>
      <c r="W731" s="87" t="s">
        <v>395</v>
      </c>
      <c r="X731" s="87"/>
      <c r="Y731" s="87"/>
      <c r="Z731" s="87"/>
      <c r="AA731" s="87"/>
      <c r="AB731" s="87"/>
      <c r="AC731" s="90" t="str">
        <f t="shared" si="83"/>
        <v>Tibabuyes</v>
      </c>
      <c r="AD731" s="87" t="s">
        <v>924</v>
      </c>
      <c r="AE731" s="87"/>
      <c r="AF731" s="87"/>
      <c r="AG731" s="87"/>
      <c r="AH731" s="87"/>
      <c r="AI731" s="87"/>
      <c r="AJ731" s="87"/>
      <c r="AK731" s="87"/>
      <c r="AL731" s="87"/>
      <c r="AM731" s="87"/>
      <c r="AN731" s="90" t="s">
        <v>3490</v>
      </c>
      <c r="AO731" s="90" t="s">
        <v>3491</v>
      </c>
      <c r="AP731" s="82"/>
      <c r="AQ731" s="87" t="s">
        <v>59</v>
      </c>
      <c r="AR731" s="87" t="s">
        <v>80</v>
      </c>
      <c r="AS731" s="82"/>
      <c r="AT731" s="87">
        <v>20</v>
      </c>
      <c r="AU731" s="87">
        <v>2</v>
      </c>
      <c r="AV731" s="87">
        <f t="shared" si="103"/>
        <v>22</v>
      </c>
      <c r="AW731" s="87" t="str">
        <f t="shared" si="54"/>
        <v>Horarios Acordes</v>
      </c>
      <c r="AX731" s="87" t="s">
        <v>213</v>
      </c>
      <c r="AY731" s="87"/>
      <c r="AZ731" s="87"/>
      <c r="BA731" s="91" t="s">
        <v>3492</v>
      </c>
      <c r="BB731" s="84"/>
      <c r="BC731" s="85"/>
      <c r="BD731" s="85"/>
    </row>
    <row r="732" spans="1:56" s="86" customFormat="1" ht="46.5" customHeight="1">
      <c r="A732" s="78">
        <v>727</v>
      </c>
      <c r="B732" s="79" t="s">
        <v>3493</v>
      </c>
      <c r="C732" s="88">
        <v>45485</v>
      </c>
      <c r="D732" s="89">
        <v>0.70833333333333337</v>
      </c>
      <c r="E732" s="87" t="s">
        <v>58</v>
      </c>
      <c r="F732" s="87" t="s">
        <v>2680</v>
      </c>
      <c r="G732" s="87" t="s">
        <v>62</v>
      </c>
      <c r="H732" s="90" t="s">
        <v>3494</v>
      </c>
      <c r="I732" s="90" t="s">
        <v>128</v>
      </c>
      <c r="J732" s="87" t="s">
        <v>119</v>
      </c>
      <c r="K732" s="87" t="s">
        <v>217</v>
      </c>
      <c r="L732" s="90" t="s">
        <v>3495</v>
      </c>
      <c r="M732" s="91" t="s">
        <v>3496</v>
      </c>
      <c r="N732" s="90" t="s">
        <v>3497</v>
      </c>
      <c r="O732" s="90" t="str">
        <f t="shared" si="79"/>
        <v>Puente Aranda</v>
      </c>
      <c r="P732" s="87" t="s">
        <v>823</v>
      </c>
      <c r="Q732" s="87"/>
      <c r="R732" s="87"/>
      <c r="S732" s="87"/>
      <c r="T732" s="87"/>
      <c r="U732" s="87"/>
      <c r="V732" s="90" t="str">
        <f t="shared" si="82"/>
        <v>Centro Ampliado</v>
      </c>
      <c r="W732" s="87" t="s">
        <v>415</v>
      </c>
      <c r="X732" s="87"/>
      <c r="Y732" s="87"/>
      <c r="Z732" s="87"/>
      <c r="AA732" s="87"/>
      <c r="AB732" s="87"/>
      <c r="AC732" s="90" t="str">
        <f t="shared" si="83"/>
        <v>Puente Aranda</v>
      </c>
      <c r="AD732" s="87" t="s">
        <v>823</v>
      </c>
      <c r="AE732" s="87"/>
      <c r="AF732" s="87"/>
      <c r="AG732" s="87"/>
      <c r="AH732" s="87"/>
      <c r="AI732" s="87"/>
      <c r="AJ732" s="87"/>
      <c r="AK732" s="87"/>
      <c r="AL732" s="87"/>
      <c r="AM732" s="87"/>
      <c r="AN732" s="90" t="s">
        <v>3498</v>
      </c>
      <c r="AO732" s="90" t="s">
        <v>3499</v>
      </c>
      <c r="AP732" s="82"/>
      <c r="AQ732" s="87" t="s">
        <v>59</v>
      </c>
      <c r="AR732" s="87" t="s">
        <v>80</v>
      </c>
      <c r="AS732" s="82"/>
      <c r="AT732" s="87">
        <v>2</v>
      </c>
      <c r="AU732" s="87">
        <v>1</v>
      </c>
      <c r="AV732" s="87">
        <f t="shared" si="103"/>
        <v>3</v>
      </c>
      <c r="AW732" s="87" t="str">
        <f t="shared" si="54"/>
        <v>Ninguna</v>
      </c>
      <c r="AX732" s="87" t="s">
        <v>75</v>
      </c>
      <c r="AY732" s="87"/>
      <c r="AZ732" s="87"/>
      <c r="BA732" s="91" t="s">
        <v>3500</v>
      </c>
      <c r="BB732" s="84"/>
      <c r="BC732" s="85"/>
      <c r="BD732" s="85"/>
    </row>
    <row r="733" spans="1:56" s="86" customFormat="1" ht="59.25" customHeight="1">
      <c r="A733" s="87">
        <v>728</v>
      </c>
      <c r="B733" s="79" t="s">
        <v>3501</v>
      </c>
      <c r="C733" s="88">
        <v>45486</v>
      </c>
      <c r="D733" s="89">
        <v>0.41666666666666669</v>
      </c>
      <c r="E733" s="87" t="s">
        <v>58</v>
      </c>
      <c r="F733" s="87" t="s">
        <v>61</v>
      </c>
      <c r="G733" s="87" t="s">
        <v>62</v>
      </c>
      <c r="H733" s="90" t="s">
        <v>3243</v>
      </c>
      <c r="I733" s="90" t="s">
        <v>128</v>
      </c>
      <c r="J733" s="87" t="s">
        <v>119</v>
      </c>
      <c r="K733" s="87" t="s">
        <v>209</v>
      </c>
      <c r="L733" s="90" t="s">
        <v>1222</v>
      </c>
      <c r="M733" s="91" t="s">
        <v>3374</v>
      </c>
      <c r="N733" s="90" t="s">
        <v>1223</v>
      </c>
      <c r="O733" s="90" t="str">
        <f t="shared" si="79"/>
        <v>Distrital</v>
      </c>
      <c r="P733" s="87" t="s">
        <v>73</v>
      </c>
      <c r="Q733" s="87"/>
      <c r="R733" s="87"/>
      <c r="S733" s="87"/>
      <c r="T733" s="87"/>
      <c r="U733" s="87"/>
      <c r="V733" s="90" t="str">
        <f t="shared" si="82"/>
        <v>Distrital</v>
      </c>
      <c r="W733" s="87" t="s">
        <v>73</v>
      </c>
      <c r="X733" s="87"/>
      <c r="Y733" s="87"/>
      <c r="Z733" s="87"/>
      <c r="AA733" s="87"/>
      <c r="AB733" s="87"/>
      <c r="AC733" s="90" t="str">
        <f t="shared" si="83"/>
        <v>Distrital</v>
      </c>
      <c r="AD733" s="87" t="s">
        <v>73</v>
      </c>
      <c r="AE733" s="87"/>
      <c r="AF733" s="87"/>
      <c r="AG733" s="87"/>
      <c r="AH733" s="87"/>
      <c r="AI733" s="87"/>
      <c r="AJ733" s="87"/>
      <c r="AK733" s="87"/>
      <c r="AL733" s="87"/>
      <c r="AM733" s="87"/>
      <c r="AN733" s="90" t="s">
        <v>160</v>
      </c>
      <c r="AO733" s="90" t="s">
        <v>3502</v>
      </c>
      <c r="AP733" s="82"/>
      <c r="AQ733" s="87" t="s">
        <v>60</v>
      </c>
      <c r="AR733" s="87" t="s">
        <v>2854</v>
      </c>
      <c r="AS733" s="82"/>
      <c r="AT733" s="87">
        <v>39</v>
      </c>
      <c r="AU733" s="87">
        <v>7</v>
      </c>
      <c r="AV733" s="87">
        <f t="shared" ref="AV733" si="132">AT733+AU733</f>
        <v>46</v>
      </c>
      <c r="AW733" s="87" t="str">
        <f>_xlfn.TEXTJOIN(", ",TRUE,$AX733:$AZ733)</f>
        <v>Ninguna</v>
      </c>
      <c r="AX733" s="87" t="s">
        <v>75</v>
      </c>
      <c r="AY733" s="87"/>
      <c r="AZ733" s="87"/>
      <c r="BA733" s="91" t="s">
        <v>3503</v>
      </c>
      <c r="BB733" s="84"/>
      <c r="BC733" s="85"/>
      <c r="BD733" s="85"/>
    </row>
    <row r="734" spans="1:56" s="86" customFormat="1" ht="57.75" customHeight="1">
      <c r="A734" s="78">
        <v>729</v>
      </c>
      <c r="B734" s="79" t="s">
        <v>3504</v>
      </c>
      <c r="C734" s="88">
        <v>45486</v>
      </c>
      <c r="D734" s="89">
        <v>0.33333333333333331</v>
      </c>
      <c r="E734" s="87" t="s">
        <v>58</v>
      </c>
      <c r="F734" s="87" t="s">
        <v>61</v>
      </c>
      <c r="G734" s="87" t="s">
        <v>62</v>
      </c>
      <c r="H734" s="90" t="s">
        <v>3243</v>
      </c>
      <c r="I734" s="90" t="s">
        <v>128</v>
      </c>
      <c r="J734" s="87" t="s">
        <v>173</v>
      </c>
      <c r="K734" s="87"/>
      <c r="L734" s="90" t="s">
        <v>72</v>
      </c>
      <c r="M734" s="90" t="s">
        <v>72</v>
      </c>
      <c r="N734" s="90" t="s">
        <v>72</v>
      </c>
      <c r="O734" s="90" t="str">
        <f t="shared" si="79"/>
        <v>Kennedy</v>
      </c>
      <c r="P734" s="87" t="s">
        <v>473</v>
      </c>
      <c r="Q734" s="87"/>
      <c r="R734" s="87"/>
      <c r="S734" s="87"/>
      <c r="T734" s="87"/>
      <c r="U734" s="87"/>
      <c r="V734" s="90" t="str">
        <f t="shared" si="82"/>
        <v>Suroccidente</v>
      </c>
      <c r="W734" s="87" t="s">
        <v>474</v>
      </c>
      <c r="X734" s="87"/>
      <c r="Y734" s="87"/>
      <c r="Z734" s="87"/>
      <c r="AA734" s="87"/>
      <c r="AB734" s="87"/>
      <c r="AC734" s="90" t="str">
        <f t="shared" si="83"/>
        <v>Bosa, Porvenir, Patio Bonito, Edén, Kennedy, Tintal</v>
      </c>
      <c r="AD734" s="87" t="s">
        <v>472</v>
      </c>
      <c r="AE734" s="87" t="s">
        <v>705</v>
      </c>
      <c r="AF734" s="87" t="s">
        <v>639</v>
      </c>
      <c r="AG734" s="87" t="s">
        <v>704</v>
      </c>
      <c r="AH734" s="87" t="s">
        <v>473</v>
      </c>
      <c r="AI734" s="87" t="s">
        <v>1134</v>
      </c>
      <c r="AJ734" s="87"/>
      <c r="AK734" s="87"/>
      <c r="AL734" s="87"/>
      <c r="AM734" s="87"/>
      <c r="AN734" s="90" t="s">
        <v>3505</v>
      </c>
      <c r="AO734" s="90" t="s">
        <v>3506</v>
      </c>
      <c r="AP734" s="82"/>
      <c r="AQ734" s="87" t="s">
        <v>60</v>
      </c>
      <c r="AR734" s="87" t="s">
        <v>2854</v>
      </c>
      <c r="AS734" s="82"/>
      <c r="AT734" s="87">
        <v>71</v>
      </c>
      <c r="AU734" s="87">
        <v>18</v>
      </c>
      <c r="AV734" s="87">
        <f>AT734+AU734</f>
        <v>89</v>
      </c>
      <c r="AW734" s="87" t="str">
        <f>_xlfn.TEXTJOIN(", ",TRUE,$AX734:$AZ734)</f>
        <v>Ninguna</v>
      </c>
      <c r="AX734" s="87" t="s">
        <v>75</v>
      </c>
      <c r="AY734" s="87"/>
      <c r="AZ734" s="87"/>
      <c r="BA734" s="91" t="s">
        <v>3507</v>
      </c>
      <c r="BB734" s="84"/>
      <c r="BC734" s="85"/>
      <c r="BD734" s="85"/>
    </row>
    <row r="735" spans="1:56" s="86" customFormat="1" ht="46.5" customHeight="1">
      <c r="A735" s="87">
        <v>730</v>
      </c>
      <c r="B735" s="79" t="s">
        <v>3508</v>
      </c>
      <c r="C735" s="88">
        <v>45487</v>
      </c>
      <c r="D735" s="89">
        <v>0.33333333333333331</v>
      </c>
      <c r="E735" s="87" t="s">
        <v>58</v>
      </c>
      <c r="F735" s="87" t="s">
        <v>61</v>
      </c>
      <c r="G735" s="87" t="s">
        <v>62</v>
      </c>
      <c r="H735" s="90" t="s">
        <v>3243</v>
      </c>
      <c r="I735" s="90" t="s">
        <v>128</v>
      </c>
      <c r="J735" s="87" t="s">
        <v>173</v>
      </c>
      <c r="K735" s="87"/>
      <c r="L735" s="90" t="s">
        <v>3509</v>
      </c>
      <c r="M735" s="90" t="s">
        <v>3510</v>
      </c>
      <c r="N735" s="90" t="s">
        <v>72</v>
      </c>
      <c r="O735" s="90" t="str">
        <f t="shared" si="79"/>
        <v>Distrital</v>
      </c>
      <c r="P735" s="87" t="s">
        <v>73</v>
      </c>
      <c r="Q735" s="87"/>
      <c r="R735" s="87"/>
      <c r="S735" s="87"/>
      <c r="T735" s="87"/>
      <c r="U735" s="87"/>
      <c r="V735" s="90" t="str">
        <f t="shared" si="82"/>
        <v>Ruralidad</v>
      </c>
      <c r="W735" s="87" t="s">
        <v>109</v>
      </c>
      <c r="X735" s="87"/>
      <c r="Y735" s="87"/>
      <c r="Z735" s="87"/>
      <c r="AA735" s="87"/>
      <c r="AB735" s="87"/>
      <c r="AC735" s="90" t="str">
        <f t="shared" si="83"/>
        <v>Cerros Orientales</v>
      </c>
      <c r="AD735" s="87" t="s">
        <v>222</v>
      </c>
      <c r="AE735" s="87"/>
      <c r="AF735" s="87"/>
      <c r="AG735" s="87"/>
      <c r="AH735" s="87"/>
      <c r="AI735" s="87"/>
      <c r="AJ735" s="87"/>
      <c r="AK735" s="87"/>
      <c r="AL735" s="87"/>
      <c r="AM735" s="87"/>
      <c r="AN735" s="90" t="s">
        <v>109</v>
      </c>
      <c r="AO735" s="90" t="s">
        <v>3511</v>
      </c>
      <c r="AP735" s="82"/>
      <c r="AQ735" s="87" t="s">
        <v>60</v>
      </c>
      <c r="AR735" s="87" t="s">
        <v>2854</v>
      </c>
      <c r="AS735" s="82"/>
      <c r="AT735" s="87">
        <v>38</v>
      </c>
      <c r="AU735" s="87">
        <v>9</v>
      </c>
      <c r="AV735" s="87">
        <f>AT735+AU735</f>
        <v>47</v>
      </c>
      <c r="AW735" s="87" t="str">
        <f>_xlfn.TEXTJOIN(", ",TRUE,$AX735:$AZ735)</f>
        <v>Horarios Acordes, Contenidos adaptados</v>
      </c>
      <c r="AX735" s="87" t="s">
        <v>213</v>
      </c>
      <c r="AY735" s="87" t="s">
        <v>212</v>
      </c>
      <c r="AZ735" s="87"/>
      <c r="BA735" s="91" t="s">
        <v>3512</v>
      </c>
      <c r="BB735" s="84"/>
      <c r="BC735" s="85"/>
      <c r="BD735" s="85"/>
    </row>
    <row r="736" spans="1:56" s="86" customFormat="1" ht="46.5" customHeight="1">
      <c r="A736" s="78">
        <v>731</v>
      </c>
      <c r="B736" s="79" t="s">
        <v>3513</v>
      </c>
      <c r="C736" s="88">
        <v>45487</v>
      </c>
      <c r="D736" s="89">
        <v>0.33333333333333331</v>
      </c>
      <c r="E736" s="87" t="s">
        <v>58</v>
      </c>
      <c r="F736" s="87" t="s">
        <v>61</v>
      </c>
      <c r="G736" s="87" t="s">
        <v>62</v>
      </c>
      <c r="H736" s="90" t="s">
        <v>3243</v>
      </c>
      <c r="I736" s="90" t="s">
        <v>128</v>
      </c>
      <c r="J736" s="87" t="s">
        <v>173</v>
      </c>
      <c r="K736" s="87"/>
      <c r="L736" s="90" t="s">
        <v>3514</v>
      </c>
      <c r="M736" s="90" t="s">
        <v>3515</v>
      </c>
      <c r="N736" s="90" t="s">
        <v>72</v>
      </c>
      <c r="O736" s="90" t="str">
        <f t="shared" ref="O736:O1188" si="133">_xlfn.TEXTJOIN(", ",TRUE,$P736:$T736)</f>
        <v>Distrital</v>
      </c>
      <c r="P736" s="87" t="s">
        <v>73</v>
      </c>
      <c r="Q736" s="87"/>
      <c r="R736" s="87"/>
      <c r="S736" s="87"/>
      <c r="T736" s="87"/>
      <c r="U736" s="87"/>
      <c r="V736" s="90" t="str">
        <f t="shared" si="82"/>
        <v>Ruralidad</v>
      </c>
      <c r="W736" s="87" t="s">
        <v>109</v>
      </c>
      <c r="X736" s="87"/>
      <c r="Y736" s="87"/>
      <c r="Z736" s="87"/>
      <c r="AA736" s="87"/>
      <c r="AB736" s="87"/>
      <c r="AC736" s="90" t="str">
        <f t="shared" si="83"/>
        <v>Cerros Orientales</v>
      </c>
      <c r="AD736" s="87" t="s">
        <v>222</v>
      </c>
      <c r="AE736" s="87"/>
      <c r="AF736" s="87"/>
      <c r="AG736" s="87"/>
      <c r="AH736" s="87"/>
      <c r="AI736" s="87"/>
      <c r="AJ736" s="87"/>
      <c r="AK736" s="87"/>
      <c r="AL736" s="87"/>
      <c r="AM736" s="87"/>
      <c r="AN736" s="90" t="s">
        <v>109</v>
      </c>
      <c r="AO736" s="90" t="s">
        <v>3516</v>
      </c>
      <c r="AP736" s="82"/>
      <c r="AQ736" s="87" t="s">
        <v>60</v>
      </c>
      <c r="AR736" s="87" t="s">
        <v>2854</v>
      </c>
      <c r="AS736" s="82"/>
      <c r="AT736" s="87">
        <v>51</v>
      </c>
      <c r="AU736" s="87">
        <v>11</v>
      </c>
      <c r="AV736" s="87">
        <v>62</v>
      </c>
      <c r="AW736" s="87" t="str">
        <f>_xlfn.TEXTJOIN(", ",TRUE,$AX736:$AZ736)</f>
        <v>Contenidos adaptados</v>
      </c>
      <c r="AX736" s="87" t="s">
        <v>212</v>
      </c>
      <c r="AY736" s="87"/>
      <c r="AZ736" s="87"/>
      <c r="BA736" s="91" t="s">
        <v>3517</v>
      </c>
      <c r="BB736" s="84"/>
      <c r="BC736" s="85"/>
      <c r="BD736" s="85"/>
    </row>
    <row r="737" spans="1:56" s="86" customFormat="1" ht="57" customHeight="1">
      <c r="A737" s="87">
        <v>732</v>
      </c>
      <c r="B737" s="79" t="s">
        <v>3518</v>
      </c>
      <c r="C737" s="88">
        <v>45489</v>
      </c>
      <c r="D737" s="89">
        <v>0.33333333333333331</v>
      </c>
      <c r="E737" s="87" t="s">
        <v>58</v>
      </c>
      <c r="F737" s="87" t="s">
        <v>2680</v>
      </c>
      <c r="G737" s="87" t="s">
        <v>62</v>
      </c>
      <c r="H737" s="90" t="s">
        <v>3519</v>
      </c>
      <c r="I737" s="90" t="s">
        <v>128</v>
      </c>
      <c r="J737" s="87" t="s">
        <v>70</v>
      </c>
      <c r="K737" s="87" t="s">
        <v>104</v>
      </c>
      <c r="L737" s="90" t="s">
        <v>3520</v>
      </c>
      <c r="M737" s="91" t="s">
        <v>3521</v>
      </c>
      <c r="N737" s="90" t="s">
        <v>3522</v>
      </c>
      <c r="O737" s="90" t="str">
        <f t="shared" si="133"/>
        <v>Usme</v>
      </c>
      <c r="P737" s="87" t="s">
        <v>670</v>
      </c>
      <c r="Q737" s="87"/>
      <c r="R737" s="87"/>
      <c r="S737" s="87"/>
      <c r="T737" s="87"/>
      <c r="U737" s="87"/>
      <c r="V737" s="90" t="str">
        <f t="shared" si="82"/>
        <v>Suroriente</v>
      </c>
      <c r="W737" s="87" t="s">
        <v>108</v>
      </c>
      <c r="X737" s="87"/>
      <c r="Y737" s="87"/>
      <c r="Z737" s="87"/>
      <c r="AA737" s="87"/>
      <c r="AB737" s="87"/>
      <c r="AC737" s="90" t="str">
        <f t="shared" si="83"/>
        <v>Usme Entrenubes</v>
      </c>
      <c r="AD737" s="87" t="s">
        <v>671</v>
      </c>
      <c r="AE737" s="87"/>
      <c r="AF737" s="87"/>
      <c r="AG737" s="87"/>
      <c r="AH737" s="87"/>
      <c r="AI737" s="87"/>
      <c r="AJ737" s="87"/>
      <c r="AK737" s="87"/>
      <c r="AL737" s="87"/>
      <c r="AM737" s="87"/>
      <c r="AN737" s="90" t="s">
        <v>3523</v>
      </c>
      <c r="AO737" s="90" t="s">
        <v>3524</v>
      </c>
      <c r="AP737" s="82"/>
      <c r="AQ737" s="87" t="s">
        <v>59</v>
      </c>
      <c r="AR737" s="87" t="s">
        <v>80</v>
      </c>
      <c r="AS737" s="82"/>
      <c r="AT737" s="87">
        <v>10</v>
      </c>
      <c r="AU737" s="87">
        <v>2</v>
      </c>
      <c r="AV737" s="87">
        <f t="shared" ref="AV737:AV743" si="134">AT737+AU737</f>
        <v>12</v>
      </c>
      <c r="AW737" s="87" t="str">
        <f t="shared" si="54"/>
        <v>Ninguna</v>
      </c>
      <c r="AX737" s="87" t="s">
        <v>75</v>
      </c>
      <c r="AY737" s="87"/>
      <c r="AZ737" s="87"/>
      <c r="BA737" s="91" t="s">
        <v>3525</v>
      </c>
      <c r="BB737" s="84"/>
      <c r="BC737" s="85"/>
      <c r="BD737" s="85"/>
    </row>
    <row r="738" spans="1:56" s="86" customFormat="1" ht="60" customHeight="1">
      <c r="A738" s="78">
        <v>733</v>
      </c>
      <c r="B738" s="79" t="s">
        <v>3526</v>
      </c>
      <c r="C738" s="88">
        <v>45489</v>
      </c>
      <c r="D738" s="89">
        <v>0.375</v>
      </c>
      <c r="E738" s="87" t="s">
        <v>58</v>
      </c>
      <c r="F738" s="87" t="s">
        <v>2680</v>
      </c>
      <c r="G738" s="87" t="s">
        <v>62</v>
      </c>
      <c r="H738" s="90" t="s">
        <v>3527</v>
      </c>
      <c r="I738" s="90" t="s">
        <v>128</v>
      </c>
      <c r="J738" s="87" t="s">
        <v>70</v>
      </c>
      <c r="K738" s="87"/>
      <c r="L738" s="90" t="s">
        <v>3528</v>
      </c>
      <c r="M738" s="91" t="s">
        <v>3529</v>
      </c>
      <c r="N738" s="90" t="s">
        <v>3530</v>
      </c>
      <c r="O738" s="90" t="str">
        <f t="shared" si="133"/>
        <v>Usaquén</v>
      </c>
      <c r="P738" s="87" t="s">
        <v>428</v>
      </c>
      <c r="Q738" s="87"/>
      <c r="R738" s="87"/>
      <c r="S738" s="87"/>
      <c r="T738" s="87"/>
      <c r="U738" s="87"/>
      <c r="V738" s="90" t="str">
        <f t="shared" si="82"/>
        <v>Norte, Ruralidad</v>
      </c>
      <c r="W738" s="87" t="s">
        <v>429</v>
      </c>
      <c r="X738" s="87" t="s">
        <v>109</v>
      </c>
      <c r="Y738" s="87"/>
      <c r="Z738" s="87"/>
      <c r="AA738" s="87"/>
      <c r="AB738" s="87"/>
      <c r="AC738" s="90" t="str">
        <f t="shared" si="83"/>
        <v>Usaquén, Cerros Orientales</v>
      </c>
      <c r="AD738" s="87" t="s">
        <v>428</v>
      </c>
      <c r="AE738" s="87" t="s">
        <v>222</v>
      </c>
      <c r="AF738" s="87"/>
      <c r="AG738" s="87"/>
      <c r="AH738" s="87"/>
      <c r="AI738" s="87"/>
      <c r="AJ738" s="87"/>
      <c r="AK738" s="87"/>
      <c r="AL738" s="87"/>
      <c r="AM738" s="87"/>
      <c r="AN738" s="90" t="s">
        <v>160</v>
      </c>
      <c r="AO738" s="90" t="s">
        <v>3531</v>
      </c>
      <c r="AP738" s="82"/>
      <c r="AQ738" s="87" t="s">
        <v>59</v>
      </c>
      <c r="AR738" s="87" t="s">
        <v>80</v>
      </c>
      <c r="AS738" s="82"/>
      <c r="AT738" s="87">
        <v>18</v>
      </c>
      <c r="AU738" s="87">
        <v>2</v>
      </c>
      <c r="AV738" s="87">
        <f t="shared" si="134"/>
        <v>20</v>
      </c>
      <c r="AW738" s="87" t="str">
        <f t="shared" si="54"/>
        <v>Ninguna</v>
      </c>
      <c r="AX738" s="87" t="s">
        <v>75</v>
      </c>
      <c r="AY738" s="87"/>
      <c r="AZ738" s="87"/>
      <c r="BA738" s="91" t="s">
        <v>3532</v>
      </c>
      <c r="BB738" s="84"/>
      <c r="BC738" s="85"/>
      <c r="BD738" s="85"/>
    </row>
    <row r="739" spans="1:56" s="86" customFormat="1" ht="57" customHeight="1">
      <c r="A739" s="87">
        <v>734</v>
      </c>
      <c r="B739" s="79" t="s">
        <v>3533</v>
      </c>
      <c r="C739" s="88">
        <v>45489</v>
      </c>
      <c r="D739" s="89">
        <v>0.39583333333333331</v>
      </c>
      <c r="E739" s="87" t="s">
        <v>58</v>
      </c>
      <c r="F739" s="87" t="s">
        <v>1184</v>
      </c>
      <c r="G739" s="87" t="s">
        <v>62</v>
      </c>
      <c r="H739" s="90" t="s">
        <v>3534</v>
      </c>
      <c r="I739" s="90" t="s">
        <v>188</v>
      </c>
      <c r="J739" s="87" t="s">
        <v>70</v>
      </c>
      <c r="K739" s="87" t="s">
        <v>104</v>
      </c>
      <c r="L739" s="90" t="s">
        <v>3535</v>
      </c>
      <c r="M739" s="91" t="s">
        <v>3536</v>
      </c>
      <c r="N739" s="90" t="s">
        <v>3537</v>
      </c>
      <c r="O739" s="90" t="str">
        <f>_xlfn.TEXTJOIN(", ",TRUE,$P739:$T739)</f>
        <v>Usaquén</v>
      </c>
      <c r="P739" s="87" t="s">
        <v>428</v>
      </c>
      <c r="Q739" s="87"/>
      <c r="R739" s="87"/>
      <c r="S739" s="87"/>
      <c r="T739" s="87"/>
      <c r="U739" s="87"/>
      <c r="V739" s="90" t="str">
        <f>_xlfn.TEXTJOIN(", ",TRUE,$W739:$AB739)</f>
        <v>Norte</v>
      </c>
      <c r="W739" s="87" t="s">
        <v>429</v>
      </c>
      <c r="X739" s="87"/>
      <c r="Y739" s="87"/>
      <c r="Z739" s="87"/>
      <c r="AA739" s="87"/>
      <c r="AB739" s="87"/>
      <c r="AC739" s="90" t="str">
        <f>_xlfn.TEXTJOIN(", ",TRUE,$AD739:$AM739)</f>
        <v>Usaquén, Toberín, Torca</v>
      </c>
      <c r="AD739" s="87" t="s">
        <v>428</v>
      </c>
      <c r="AE739" s="87" t="s">
        <v>527</v>
      </c>
      <c r="AF739" s="87" t="s">
        <v>528</v>
      </c>
      <c r="AG739" s="87"/>
      <c r="AH739" s="87"/>
      <c r="AI739" s="87"/>
      <c r="AJ739" s="87"/>
      <c r="AK739" s="87"/>
      <c r="AL739" s="87"/>
      <c r="AM739" s="87"/>
      <c r="AN739" s="90" t="s">
        <v>160</v>
      </c>
      <c r="AO739" s="90" t="s">
        <v>3538</v>
      </c>
      <c r="AP739" s="82"/>
      <c r="AQ739" s="87" t="s">
        <v>59</v>
      </c>
      <c r="AR739" s="87" t="s">
        <v>80</v>
      </c>
      <c r="AS739" s="82"/>
      <c r="AT739" s="87">
        <v>7</v>
      </c>
      <c r="AU739" s="87">
        <v>7</v>
      </c>
      <c r="AV739" s="87">
        <f>AT739+AU739</f>
        <v>14</v>
      </c>
      <c r="AW739" s="87" t="str">
        <f>_xlfn.TEXTJOIN(", ",TRUE,$AX739:$AZ739)</f>
        <v>Ninguna</v>
      </c>
      <c r="AX739" s="87" t="s">
        <v>75</v>
      </c>
      <c r="AY739" s="87"/>
      <c r="AZ739" s="87"/>
      <c r="BA739" s="91" t="s">
        <v>3539</v>
      </c>
      <c r="BB739" s="84"/>
      <c r="BC739" s="85"/>
      <c r="BD739" s="85"/>
    </row>
    <row r="740" spans="1:56" s="86" customFormat="1" ht="60" customHeight="1">
      <c r="A740" s="78">
        <v>735</v>
      </c>
      <c r="B740" s="79" t="s">
        <v>3540</v>
      </c>
      <c r="C740" s="88">
        <v>45489</v>
      </c>
      <c r="D740" s="89">
        <v>0.625</v>
      </c>
      <c r="E740" s="87" t="s">
        <v>58</v>
      </c>
      <c r="F740" s="87" t="s">
        <v>1142</v>
      </c>
      <c r="G740" s="87" t="s">
        <v>62</v>
      </c>
      <c r="H740" s="90" t="s">
        <v>3541</v>
      </c>
      <c r="I740" s="90" t="s">
        <v>64</v>
      </c>
      <c r="J740" s="87" t="s">
        <v>173</v>
      </c>
      <c r="K740" s="87"/>
      <c r="L740" s="90" t="s">
        <v>794</v>
      </c>
      <c r="M740" s="91" t="s">
        <v>3419</v>
      </c>
      <c r="N740" s="90" t="s">
        <v>3420</v>
      </c>
      <c r="O740" s="90" t="str">
        <f t="shared" si="133"/>
        <v>Distrital</v>
      </c>
      <c r="P740" s="87" t="s">
        <v>73</v>
      </c>
      <c r="Q740" s="87"/>
      <c r="R740" s="87"/>
      <c r="S740" s="87"/>
      <c r="T740" s="87"/>
      <c r="U740" s="87"/>
      <c r="V740" s="90" t="str">
        <f t="shared" si="82"/>
        <v>Distrital</v>
      </c>
      <c r="W740" s="87" t="s">
        <v>73</v>
      </c>
      <c r="X740" s="87"/>
      <c r="Y740" s="87"/>
      <c r="Z740" s="87"/>
      <c r="AA740" s="87"/>
      <c r="AB740" s="87"/>
      <c r="AC740" s="90" t="str">
        <f t="shared" si="83"/>
        <v>Distrital</v>
      </c>
      <c r="AD740" s="87" t="s">
        <v>73</v>
      </c>
      <c r="AE740" s="87"/>
      <c r="AF740" s="87"/>
      <c r="AG740" s="87"/>
      <c r="AH740" s="87"/>
      <c r="AI740" s="87"/>
      <c r="AJ740" s="87"/>
      <c r="AK740" s="87"/>
      <c r="AL740" s="87"/>
      <c r="AM740" s="87"/>
      <c r="AN740" s="90" t="s">
        <v>2386</v>
      </c>
      <c r="AO740" s="90" t="s">
        <v>3542</v>
      </c>
      <c r="AP740" s="82"/>
      <c r="AQ740" s="87" t="s">
        <v>59</v>
      </c>
      <c r="AR740" s="87" t="s">
        <v>80</v>
      </c>
      <c r="AS740" s="82"/>
      <c r="AT740" s="87">
        <v>0</v>
      </c>
      <c r="AU740" s="87">
        <v>4</v>
      </c>
      <c r="AV740" s="87">
        <f t="shared" si="134"/>
        <v>4</v>
      </c>
      <c r="AW740" s="87" t="str">
        <f t="shared" si="54"/>
        <v>Ninguna</v>
      </c>
      <c r="AX740" s="87" t="s">
        <v>75</v>
      </c>
      <c r="AY740" s="87"/>
      <c r="AZ740" s="87"/>
      <c r="BA740" s="91" t="s">
        <v>3543</v>
      </c>
      <c r="BB740" s="84"/>
      <c r="BC740" s="85"/>
      <c r="BD740" s="85"/>
    </row>
    <row r="741" spans="1:56" s="86" customFormat="1" ht="60" customHeight="1">
      <c r="A741" s="87">
        <v>736</v>
      </c>
      <c r="B741" s="79" t="s">
        <v>3544</v>
      </c>
      <c r="C741" s="88">
        <v>45489</v>
      </c>
      <c r="D741" s="89">
        <v>0.66666666666666663</v>
      </c>
      <c r="E741" s="87" t="s">
        <v>93</v>
      </c>
      <c r="F741" s="87" t="s">
        <v>321</v>
      </c>
      <c r="G741" s="87" t="s">
        <v>95</v>
      </c>
      <c r="H741" s="90" t="s">
        <v>3545</v>
      </c>
      <c r="I741" s="90" t="s">
        <v>118</v>
      </c>
      <c r="J741" s="87" t="s">
        <v>70</v>
      </c>
      <c r="K741" s="87" t="s">
        <v>1810</v>
      </c>
      <c r="L741" s="90" t="s">
        <v>3546</v>
      </c>
      <c r="M741" s="91" t="s">
        <v>2753</v>
      </c>
      <c r="N741" s="90" t="s">
        <v>2476</v>
      </c>
      <c r="O741" s="90" t="str">
        <f t="shared" si="133"/>
        <v>Sumapaz</v>
      </c>
      <c r="P741" s="87" t="s">
        <v>327</v>
      </c>
      <c r="Q741" s="87"/>
      <c r="R741" s="87"/>
      <c r="S741" s="87"/>
      <c r="T741" s="87"/>
      <c r="U741" s="87"/>
      <c r="V741" s="90" t="str">
        <f t="shared" si="82"/>
        <v>Ruralidad</v>
      </c>
      <c r="W741" s="87" t="s">
        <v>109</v>
      </c>
      <c r="X741" s="87"/>
      <c r="Y741" s="87"/>
      <c r="Z741" s="87"/>
      <c r="AA741" s="87"/>
      <c r="AB741" s="87"/>
      <c r="AC741" s="90" t="str">
        <f t="shared" si="83"/>
        <v>Sumapaz</v>
      </c>
      <c r="AD741" s="87" t="s">
        <v>327</v>
      </c>
      <c r="AE741" s="87"/>
      <c r="AF741" s="87"/>
      <c r="AG741" s="87"/>
      <c r="AH741" s="87"/>
      <c r="AI741" s="87"/>
      <c r="AJ741" s="87"/>
      <c r="AK741" s="87"/>
      <c r="AL741" s="87"/>
      <c r="AM741" s="87"/>
      <c r="AN741" s="90" t="s">
        <v>2448</v>
      </c>
      <c r="AO741" s="90" t="s">
        <v>90</v>
      </c>
      <c r="AP741" s="82"/>
      <c r="AQ741" s="87" t="s">
        <v>59</v>
      </c>
      <c r="AR741" s="87" t="s">
        <v>80</v>
      </c>
      <c r="AS741" s="82"/>
      <c r="AT741" s="87">
        <v>8</v>
      </c>
      <c r="AU741" s="87">
        <v>1</v>
      </c>
      <c r="AV741" s="87">
        <f t="shared" si="134"/>
        <v>9</v>
      </c>
      <c r="AW741" s="87" t="str">
        <f t="shared" si="54"/>
        <v>Horarios Acordes</v>
      </c>
      <c r="AX741" s="87" t="s">
        <v>213</v>
      </c>
      <c r="AY741" s="87"/>
      <c r="AZ741" s="87"/>
      <c r="BA741" s="91" t="s">
        <v>3547</v>
      </c>
      <c r="BB741" s="84"/>
      <c r="BC741" s="85"/>
      <c r="BD741" s="85"/>
    </row>
    <row r="742" spans="1:56" s="86" customFormat="1" ht="60" customHeight="1">
      <c r="A742" s="78">
        <v>737</v>
      </c>
      <c r="B742" s="79" t="s">
        <v>3548</v>
      </c>
      <c r="C742" s="88">
        <v>45489</v>
      </c>
      <c r="D742" s="89">
        <v>0.66666666666666663</v>
      </c>
      <c r="E742" s="87" t="s">
        <v>58</v>
      </c>
      <c r="F742" s="87" t="s">
        <v>149</v>
      </c>
      <c r="G742" s="87" t="s">
        <v>62</v>
      </c>
      <c r="H742" s="90" t="s">
        <v>3549</v>
      </c>
      <c r="I742" s="90" t="s">
        <v>64</v>
      </c>
      <c r="J742" s="87" t="s">
        <v>173</v>
      </c>
      <c r="K742" s="87"/>
      <c r="L742" s="91" t="s">
        <v>1317</v>
      </c>
      <c r="M742" s="91" t="s">
        <v>1317</v>
      </c>
      <c r="N742" s="91" t="s">
        <v>1317</v>
      </c>
      <c r="O742" s="90" t="str">
        <f t="shared" si="133"/>
        <v>Distrital</v>
      </c>
      <c r="P742" s="87" t="s">
        <v>73</v>
      </c>
      <c r="Q742" s="87"/>
      <c r="R742" s="87"/>
      <c r="S742" s="87"/>
      <c r="T742" s="87"/>
      <c r="U742" s="87"/>
      <c r="V742" s="90" t="str">
        <f t="shared" si="82"/>
        <v>Distrital</v>
      </c>
      <c r="W742" s="87" t="s">
        <v>73</v>
      </c>
      <c r="X742" s="87"/>
      <c r="Y742" s="87"/>
      <c r="Z742" s="87"/>
      <c r="AA742" s="87"/>
      <c r="AB742" s="87"/>
      <c r="AC742" s="90" t="str">
        <f t="shared" si="83"/>
        <v>Distrital</v>
      </c>
      <c r="AD742" s="87" t="s">
        <v>73</v>
      </c>
      <c r="AE742" s="87"/>
      <c r="AF742" s="87"/>
      <c r="AG742" s="87"/>
      <c r="AH742" s="87"/>
      <c r="AI742" s="87"/>
      <c r="AJ742" s="87"/>
      <c r="AK742" s="87"/>
      <c r="AL742" s="87"/>
      <c r="AM742" s="87"/>
      <c r="AN742" s="90" t="s">
        <v>220</v>
      </c>
      <c r="AO742" s="90" t="s">
        <v>3550</v>
      </c>
      <c r="AP742" s="82"/>
      <c r="AQ742" s="87" t="s">
        <v>59</v>
      </c>
      <c r="AR742" s="87" t="s">
        <v>80</v>
      </c>
      <c r="AS742" s="82"/>
      <c r="AT742" s="87">
        <v>3</v>
      </c>
      <c r="AU742" s="87">
        <v>4</v>
      </c>
      <c r="AV742" s="87">
        <f t="shared" si="134"/>
        <v>7</v>
      </c>
      <c r="AW742" s="87" t="str">
        <f t="shared" si="54"/>
        <v>Ninguna</v>
      </c>
      <c r="AX742" s="87" t="s">
        <v>75</v>
      </c>
      <c r="AY742" s="87"/>
      <c r="AZ742" s="87"/>
      <c r="BA742" s="91" t="s">
        <v>3551</v>
      </c>
      <c r="BB742" s="84"/>
      <c r="BC742" s="85"/>
      <c r="BD742" s="85"/>
    </row>
    <row r="743" spans="1:56" s="86" customFormat="1" ht="60" customHeight="1">
      <c r="A743" s="87">
        <v>738</v>
      </c>
      <c r="B743" s="79" t="s">
        <v>3552</v>
      </c>
      <c r="C743" s="88">
        <v>45489</v>
      </c>
      <c r="D743" s="89">
        <v>0.72916666666666663</v>
      </c>
      <c r="E743" s="87" t="s">
        <v>58</v>
      </c>
      <c r="F743" s="87" t="s">
        <v>1184</v>
      </c>
      <c r="G743" s="87" t="s">
        <v>62</v>
      </c>
      <c r="H743" s="90" t="s">
        <v>3553</v>
      </c>
      <c r="I743" s="90" t="s">
        <v>128</v>
      </c>
      <c r="J743" s="87" t="s">
        <v>119</v>
      </c>
      <c r="K743" s="87" t="s">
        <v>217</v>
      </c>
      <c r="L743" s="90" t="s">
        <v>3554</v>
      </c>
      <c r="M743" s="91" t="s">
        <v>3555</v>
      </c>
      <c r="N743" s="90" t="s">
        <v>3556</v>
      </c>
      <c r="O743" s="90" t="str">
        <f t="shared" si="133"/>
        <v>Suba</v>
      </c>
      <c r="P743" s="87" t="s">
        <v>394</v>
      </c>
      <c r="Q743" s="87"/>
      <c r="R743" s="87"/>
      <c r="S743" s="87"/>
      <c r="T743" s="87"/>
      <c r="U743" s="87"/>
      <c r="V743" s="90" t="str">
        <f t="shared" si="82"/>
        <v>Noroccidente</v>
      </c>
      <c r="W743" s="87" t="s">
        <v>395</v>
      </c>
      <c r="X743" s="87"/>
      <c r="Y743" s="87"/>
      <c r="Z743" s="87"/>
      <c r="AA743" s="87"/>
      <c r="AB743" s="87"/>
      <c r="AC743" s="90" t="str">
        <f>_xlfn.TEXTJOIN(", ",TRUE,$AD743:$AM743)</f>
        <v>Suba, Suba Rincón, Tibabuyes</v>
      </c>
      <c r="AD743" s="87" t="s">
        <v>394</v>
      </c>
      <c r="AE743" s="87" t="s">
        <v>396</v>
      </c>
      <c r="AF743" s="87" t="s">
        <v>924</v>
      </c>
      <c r="AG743" s="87"/>
      <c r="AH743" s="87"/>
      <c r="AI743" s="87"/>
      <c r="AJ743" s="87"/>
      <c r="AK743" s="87"/>
      <c r="AL743" s="87"/>
      <c r="AM743" s="87"/>
      <c r="AN743" s="90" t="s">
        <v>160</v>
      </c>
      <c r="AO743" s="90" t="s">
        <v>3557</v>
      </c>
      <c r="AP743" s="82"/>
      <c r="AQ743" s="87" t="s">
        <v>59</v>
      </c>
      <c r="AR743" s="87" t="s">
        <v>80</v>
      </c>
      <c r="AS743" s="82"/>
      <c r="AT743" s="87">
        <v>20</v>
      </c>
      <c r="AU743" s="87">
        <v>9</v>
      </c>
      <c r="AV743" s="87">
        <f t="shared" si="134"/>
        <v>29</v>
      </c>
      <c r="AW743" s="87" t="str">
        <f t="shared" si="54"/>
        <v>Ninguna</v>
      </c>
      <c r="AX743" s="87" t="s">
        <v>75</v>
      </c>
      <c r="AY743" s="87"/>
      <c r="AZ743" s="87"/>
      <c r="BA743" s="91" t="s">
        <v>3558</v>
      </c>
      <c r="BB743" s="84"/>
      <c r="BC743" s="85"/>
      <c r="BD743" s="85"/>
    </row>
    <row r="744" spans="1:56" s="86" customFormat="1" ht="57" customHeight="1">
      <c r="A744" s="78">
        <v>739</v>
      </c>
      <c r="B744" s="79" t="s">
        <v>3559</v>
      </c>
      <c r="C744" s="88">
        <v>45489</v>
      </c>
      <c r="D744" s="89">
        <v>0.72916666666666663</v>
      </c>
      <c r="E744" s="87" t="s">
        <v>58</v>
      </c>
      <c r="F744" s="87" t="s">
        <v>1184</v>
      </c>
      <c r="G744" s="87" t="s">
        <v>62</v>
      </c>
      <c r="H744" s="90" t="s">
        <v>3553</v>
      </c>
      <c r="I744" s="90" t="s">
        <v>188</v>
      </c>
      <c r="J744" s="87" t="s">
        <v>119</v>
      </c>
      <c r="K744" s="87" t="s">
        <v>217</v>
      </c>
      <c r="L744" s="90" t="s">
        <v>3560</v>
      </c>
      <c r="M744" s="91" t="s">
        <v>2984</v>
      </c>
      <c r="N744" s="90" t="s">
        <v>3556</v>
      </c>
      <c r="O744" s="90" t="str">
        <f>_xlfn.TEXTJOIN(", ",TRUE,$P744:$T744)</f>
        <v>Suba</v>
      </c>
      <c r="P744" s="87" t="s">
        <v>394</v>
      </c>
      <c r="Q744" s="87"/>
      <c r="R744" s="87"/>
      <c r="S744" s="87"/>
      <c r="T744" s="87"/>
      <c r="U744" s="87"/>
      <c r="V744" s="90" t="str">
        <f>_xlfn.TEXTJOIN(", ",TRUE,$W744:$AB744)</f>
        <v>Norte</v>
      </c>
      <c r="W744" s="87" t="s">
        <v>429</v>
      </c>
      <c r="X744" s="87"/>
      <c r="Y744" s="87"/>
      <c r="Z744" s="87"/>
      <c r="AA744" s="87"/>
      <c r="AB744" s="87"/>
      <c r="AC744" s="90" t="str">
        <f>_xlfn.TEXTJOIN(", ",TRUE,$AD744:$AM744)</f>
        <v>Niza, Britalia, Torca</v>
      </c>
      <c r="AD744" s="87" t="s">
        <v>571</v>
      </c>
      <c r="AE744" s="87" t="s">
        <v>876</v>
      </c>
      <c r="AF744" s="87" t="s">
        <v>528</v>
      </c>
      <c r="AG744" s="87"/>
      <c r="AH744" s="87"/>
      <c r="AI744" s="87"/>
      <c r="AJ744" s="87"/>
      <c r="AK744" s="87"/>
      <c r="AL744" s="87"/>
      <c r="AM744" s="87"/>
      <c r="AN744" s="90" t="s">
        <v>3561</v>
      </c>
      <c r="AO744" s="90" t="s">
        <v>3557</v>
      </c>
      <c r="AP744" s="82"/>
      <c r="AQ744" s="87" t="s">
        <v>59</v>
      </c>
      <c r="AR744" s="87" t="s">
        <v>80</v>
      </c>
      <c r="AS744" s="82"/>
      <c r="AT744" s="87">
        <v>19</v>
      </c>
      <c r="AU744" s="87">
        <v>10</v>
      </c>
      <c r="AV744" s="87">
        <f>AT744+AU744</f>
        <v>29</v>
      </c>
      <c r="AW744" s="87" t="str">
        <f>_xlfn.TEXTJOIN(", ",TRUE,$AX744:$AZ744)</f>
        <v>Horarios Acordes</v>
      </c>
      <c r="AX744" s="87" t="s">
        <v>213</v>
      </c>
      <c r="AY744" s="87"/>
      <c r="AZ744" s="87"/>
      <c r="BA744" s="91" t="s">
        <v>3562</v>
      </c>
      <c r="BB744" s="84"/>
      <c r="BC744" s="85"/>
      <c r="BD744" s="85"/>
    </row>
    <row r="745" spans="1:56" s="86" customFormat="1" ht="57" customHeight="1">
      <c r="A745" s="87">
        <v>740</v>
      </c>
      <c r="B745" s="79" t="s">
        <v>3563</v>
      </c>
      <c r="C745" s="88">
        <v>45490</v>
      </c>
      <c r="D745" s="89">
        <v>0.33333333333333331</v>
      </c>
      <c r="E745" s="87" t="s">
        <v>58</v>
      </c>
      <c r="F745" s="87" t="s">
        <v>135</v>
      </c>
      <c r="G745" s="87" t="s">
        <v>95</v>
      </c>
      <c r="H745" s="90" t="s">
        <v>3564</v>
      </c>
      <c r="I745" s="90" t="s">
        <v>64</v>
      </c>
      <c r="J745" s="87" t="s">
        <v>173</v>
      </c>
      <c r="K745" s="87"/>
      <c r="L745" s="90" t="s">
        <v>72</v>
      </c>
      <c r="M745" s="91" t="s">
        <v>72</v>
      </c>
      <c r="N745" s="90" t="s">
        <v>72</v>
      </c>
      <c r="O745" s="90" t="str">
        <f t="shared" si="79"/>
        <v>Distrital</v>
      </c>
      <c r="P745" s="87" t="s">
        <v>73</v>
      </c>
      <c r="Q745" s="87"/>
      <c r="R745" s="87"/>
      <c r="S745" s="87"/>
      <c r="T745" s="87"/>
      <c r="U745" s="87"/>
      <c r="V745" s="90" t="str">
        <f t="shared" si="82"/>
        <v>Distrital</v>
      </c>
      <c r="W745" s="87" t="s">
        <v>73</v>
      </c>
      <c r="X745" s="87"/>
      <c r="Y745" s="87"/>
      <c r="Z745" s="87"/>
      <c r="AA745" s="87"/>
      <c r="AB745" s="87"/>
      <c r="AC745" s="90" t="str">
        <f t="shared" si="83"/>
        <v>Distrital</v>
      </c>
      <c r="AD745" s="87" t="s">
        <v>73</v>
      </c>
      <c r="AE745" s="87"/>
      <c r="AF745" s="87"/>
      <c r="AG745" s="87"/>
      <c r="AH745" s="87"/>
      <c r="AI745" s="87"/>
      <c r="AJ745" s="87"/>
      <c r="AK745" s="87"/>
      <c r="AL745" s="87"/>
      <c r="AM745" s="87"/>
      <c r="AN745" s="90" t="s">
        <v>160</v>
      </c>
      <c r="AO745" s="102" t="s">
        <v>2638</v>
      </c>
      <c r="AP745" s="82"/>
      <c r="AQ745" s="87" t="s">
        <v>59</v>
      </c>
      <c r="AR745" s="87" t="s">
        <v>80</v>
      </c>
      <c r="AS745" s="82"/>
      <c r="AT745" s="87">
        <v>18</v>
      </c>
      <c r="AU745" s="87">
        <v>10</v>
      </c>
      <c r="AV745" s="87">
        <f t="shared" ref="AV745" si="135">AT745+AU745</f>
        <v>28</v>
      </c>
      <c r="AW745" s="87" t="str">
        <f t="shared" si="54"/>
        <v>Ninguna</v>
      </c>
      <c r="AX745" s="87" t="s">
        <v>75</v>
      </c>
      <c r="AY745" s="87"/>
      <c r="AZ745" s="87"/>
      <c r="BA745" s="91" t="s">
        <v>3565</v>
      </c>
      <c r="BB745" s="84"/>
      <c r="BC745" s="85"/>
      <c r="BD745" s="85"/>
    </row>
    <row r="746" spans="1:56" s="86" customFormat="1" ht="57.75" customHeight="1">
      <c r="A746" s="78">
        <v>741</v>
      </c>
      <c r="B746" s="79" t="s">
        <v>3566</v>
      </c>
      <c r="C746" s="88">
        <v>45490</v>
      </c>
      <c r="D746" s="89">
        <v>0.41666666666666669</v>
      </c>
      <c r="E746" s="87" t="s">
        <v>58</v>
      </c>
      <c r="F746" s="87" t="s">
        <v>3567</v>
      </c>
      <c r="G746" s="87" t="s">
        <v>62</v>
      </c>
      <c r="H746" s="90" t="s">
        <v>3568</v>
      </c>
      <c r="I746" s="90" t="s">
        <v>118</v>
      </c>
      <c r="J746" s="87" t="s">
        <v>173</v>
      </c>
      <c r="K746" s="87"/>
      <c r="L746" s="90" t="s">
        <v>3569</v>
      </c>
      <c r="M746" s="91" t="s">
        <v>72</v>
      </c>
      <c r="N746" s="90" t="s">
        <v>3570</v>
      </c>
      <c r="O746" s="90" t="str">
        <f>_xlfn.TEXTJOIN(", ",TRUE,$P746:$T746)</f>
        <v>La Candelaria</v>
      </c>
      <c r="P746" s="87" t="s">
        <v>487</v>
      </c>
      <c r="Q746" s="87"/>
      <c r="R746" s="87"/>
      <c r="S746" s="87"/>
      <c r="T746" s="87"/>
      <c r="U746" s="87"/>
      <c r="V746" s="90" t="str">
        <f>_xlfn.TEXTJOIN(", ",TRUE,$W746:$AB746)</f>
        <v>Centro Ampliado</v>
      </c>
      <c r="W746" s="87" t="s">
        <v>415</v>
      </c>
      <c r="X746" s="87"/>
      <c r="Y746" s="87"/>
      <c r="Z746" s="87"/>
      <c r="AA746" s="87"/>
      <c r="AB746" s="87"/>
      <c r="AC746" s="90" t="str">
        <f>_xlfn.TEXTJOIN(", ",TRUE,$AD746:$AM746)</f>
        <v>Centro Histórico</v>
      </c>
      <c r="AD746" s="87" t="s">
        <v>488</v>
      </c>
      <c r="AE746" s="87"/>
      <c r="AF746" s="87"/>
      <c r="AG746" s="87"/>
      <c r="AH746" s="87"/>
      <c r="AI746" s="87"/>
      <c r="AJ746" s="87"/>
      <c r="AK746" s="87"/>
      <c r="AL746" s="87"/>
      <c r="AM746" s="87"/>
      <c r="AN746" s="90" t="s">
        <v>2682</v>
      </c>
      <c r="AO746" s="90" t="s">
        <v>3571</v>
      </c>
      <c r="AP746" s="82"/>
      <c r="AQ746" s="87" t="s">
        <v>59</v>
      </c>
      <c r="AR746" s="87" t="s">
        <v>80</v>
      </c>
      <c r="AS746" s="82"/>
      <c r="AT746" s="87">
        <v>3</v>
      </c>
      <c r="AU746" s="87">
        <v>2</v>
      </c>
      <c r="AV746" s="87">
        <f>AT746+AU746</f>
        <v>5</v>
      </c>
      <c r="AW746" s="87" t="str">
        <f>_xlfn.TEXTJOIN(", ",TRUE,$AX746:$AZ746)</f>
        <v>Ninguna</v>
      </c>
      <c r="AX746" s="87" t="s">
        <v>75</v>
      </c>
      <c r="AY746" s="87"/>
      <c r="AZ746" s="87"/>
      <c r="BA746" s="91" t="s">
        <v>3572</v>
      </c>
      <c r="BB746" s="84"/>
      <c r="BC746" s="85"/>
      <c r="BD746" s="85"/>
    </row>
    <row r="747" spans="1:56" s="86" customFormat="1" ht="46.5" customHeight="1">
      <c r="A747" s="87">
        <v>742</v>
      </c>
      <c r="B747" s="79" t="s">
        <v>3573</v>
      </c>
      <c r="C747" s="88">
        <v>45490</v>
      </c>
      <c r="D747" s="89">
        <v>0.5</v>
      </c>
      <c r="E747" s="87" t="s">
        <v>58</v>
      </c>
      <c r="F747" s="87" t="s">
        <v>1437</v>
      </c>
      <c r="G747" s="87" t="s">
        <v>95</v>
      </c>
      <c r="H747" s="90" t="s">
        <v>3574</v>
      </c>
      <c r="I747" s="90" t="s">
        <v>118</v>
      </c>
      <c r="J747" s="87" t="s">
        <v>70</v>
      </c>
      <c r="K747" s="87" t="s">
        <v>71</v>
      </c>
      <c r="L747" s="90" t="s">
        <v>72</v>
      </c>
      <c r="M747" s="90" t="s">
        <v>72</v>
      </c>
      <c r="N747" s="90" t="s">
        <v>72</v>
      </c>
      <c r="O747" s="90" t="str">
        <f t="shared" si="133"/>
        <v>Distrital</v>
      </c>
      <c r="P747" s="87" t="s">
        <v>73</v>
      </c>
      <c r="Q747" s="87"/>
      <c r="R747" s="87"/>
      <c r="S747" s="87"/>
      <c r="T747" s="87"/>
      <c r="U747" s="87"/>
      <c r="V747" s="90" t="str">
        <f t="shared" si="82"/>
        <v>Distrital</v>
      </c>
      <c r="W747" s="87" t="s">
        <v>73</v>
      </c>
      <c r="X747" s="87"/>
      <c r="Y747" s="87"/>
      <c r="Z747" s="87"/>
      <c r="AA747" s="87"/>
      <c r="AB747" s="87"/>
      <c r="AC747" s="90" t="str">
        <f t="shared" si="83"/>
        <v>Distrital</v>
      </c>
      <c r="AD747" s="87" t="s">
        <v>73</v>
      </c>
      <c r="AE747" s="87"/>
      <c r="AF747" s="87"/>
      <c r="AG747" s="87"/>
      <c r="AH747" s="87"/>
      <c r="AI747" s="87"/>
      <c r="AJ747" s="87"/>
      <c r="AK747" s="87"/>
      <c r="AL747" s="87"/>
      <c r="AM747" s="87"/>
      <c r="AN747" s="90" t="s">
        <v>160</v>
      </c>
      <c r="AO747" s="102" t="s">
        <v>2638</v>
      </c>
      <c r="AP747" s="82"/>
      <c r="AQ747" s="87" t="s">
        <v>59</v>
      </c>
      <c r="AR747" s="87" t="s">
        <v>80</v>
      </c>
      <c r="AS747" s="82"/>
      <c r="AT747" s="87">
        <v>2</v>
      </c>
      <c r="AU747" s="87">
        <v>5</v>
      </c>
      <c r="AV747" s="87">
        <f t="shared" ref="AV747:AV769" si="136">AT747+AU747</f>
        <v>7</v>
      </c>
      <c r="AW747" s="87" t="str">
        <f t="shared" si="54"/>
        <v>Ninguna</v>
      </c>
      <c r="AX747" s="87" t="s">
        <v>75</v>
      </c>
      <c r="AY747" s="87"/>
      <c r="AZ747" s="87"/>
      <c r="BA747" s="91" t="s">
        <v>3575</v>
      </c>
      <c r="BB747" s="84"/>
      <c r="BC747" s="85"/>
      <c r="BD747" s="85"/>
    </row>
    <row r="748" spans="1:56" s="86" customFormat="1" ht="54.75" customHeight="1">
      <c r="A748" s="78">
        <v>743</v>
      </c>
      <c r="B748" s="79" t="s">
        <v>3576</v>
      </c>
      <c r="C748" s="88">
        <v>45490</v>
      </c>
      <c r="D748" s="89">
        <v>0.58333333333333337</v>
      </c>
      <c r="E748" s="87" t="s">
        <v>58</v>
      </c>
      <c r="F748" s="87" t="s">
        <v>2680</v>
      </c>
      <c r="G748" s="87" t="s">
        <v>62</v>
      </c>
      <c r="H748" s="90" t="s">
        <v>3577</v>
      </c>
      <c r="I748" s="90" t="s">
        <v>128</v>
      </c>
      <c r="J748" s="87" t="s">
        <v>119</v>
      </c>
      <c r="K748" s="87" t="s">
        <v>209</v>
      </c>
      <c r="L748" s="90" t="s">
        <v>3578</v>
      </c>
      <c r="M748" s="91" t="s">
        <v>3579</v>
      </c>
      <c r="N748" s="90" t="s">
        <v>72</v>
      </c>
      <c r="O748" s="90" t="str">
        <f t="shared" si="133"/>
        <v>Usaquén</v>
      </c>
      <c r="P748" s="87" t="s">
        <v>428</v>
      </c>
      <c r="Q748" s="87"/>
      <c r="R748" s="87"/>
      <c r="S748" s="87"/>
      <c r="T748" s="87"/>
      <c r="U748" s="87"/>
      <c r="V748" s="90" t="str">
        <f t="shared" ref="V748:V1188" si="137">_xlfn.TEXTJOIN(", ",TRUE,$W748:$AB748)</f>
        <v>Norte</v>
      </c>
      <c r="W748" s="87" t="s">
        <v>429</v>
      </c>
      <c r="X748" s="87"/>
      <c r="Y748" s="87"/>
      <c r="Z748" s="87"/>
      <c r="AA748" s="87"/>
      <c r="AB748" s="87"/>
      <c r="AC748" s="90" t="str">
        <f t="shared" ref="AC748:AC1188" si="138">_xlfn.TEXTJOIN(", ",TRUE,$AD748:$AM748)</f>
        <v>Usaquén</v>
      </c>
      <c r="AD748" s="87" t="s">
        <v>428</v>
      </c>
      <c r="AE748" s="87"/>
      <c r="AF748" s="87"/>
      <c r="AG748" s="87"/>
      <c r="AH748" s="87"/>
      <c r="AI748" s="87"/>
      <c r="AJ748" s="87"/>
      <c r="AK748" s="87"/>
      <c r="AL748" s="87"/>
      <c r="AM748" s="87"/>
      <c r="AN748" s="90" t="s">
        <v>3580</v>
      </c>
      <c r="AO748" s="90" t="s">
        <v>3581</v>
      </c>
      <c r="AP748" s="82"/>
      <c r="AQ748" s="87" t="s">
        <v>59</v>
      </c>
      <c r="AR748" s="87" t="s">
        <v>80</v>
      </c>
      <c r="AS748" s="82"/>
      <c r="AT748" s="87">
        <v>1</v>
      </c>
      <c r="AU748" s="87">
        <v>1</v>
      </c>
      <c r="AV748" s="87">
        <f t="shared" si="136"/>
        <v>2</v>
      </c>
      <c r="AW748" s="87" t="str">
        <f t="shared" si="54"/>
        <v>Horarios Acordes</v>
      </c>
      <c r="AX748" s="87" t="s">
        <v>213</v>
      </c>
      <c r="AY748" s="87"/>
      <c r="AZ748" s="87"/>
      <c r="BA748" s="91" t="s">
        <v>3582</v>
      </c>
      <c r="BB748" s="84"/>
      <c r="BC748" s="85"/>
      <c r="BD748" s="85"/>
    </row>
    <row r="749" spans="1:56" s="86" customFormat="1" ht="46.5" customHeight="1">
      <c r="A749" s="87">
        <v>744</v>
      </c>
      <c r="B749" s="79" t="s">
        <v>2908</v>
      </c>
      <c r="C749" s="88">
        <v>45490</v>
      </c>
      <c r="D749" s="89">
        <v>0.58333333333333337</v>
      </c>
      <c r="E749" s="87" t="s">
        <v>58</v>
      </c>
      <c r="F749" s="87" t="s">
        <v>1750</v>
      </c>
      <c r="G749" s="87" t="s">
        <v>62</v>
      </c>
      <c r="H749" s="90" t="s">
        <v>2909</v>
      </c>
      <c r="I749" s="90" t="s">
        <v>118</v>
      </c>
      <c r="J749" s="87" t="s">
        <v>70</v>
      </c>
      <c r="K749" s="87" t="s">
        <v>71</v>
      </c>
      <c r="L749" s="90" t="s">
        <v>72</v>
      </c>
      <c r="M749" s="91" t="s">
        <v>72</v>
      </c>
      <c r="N749" s="90" t="s">
        <v>72</v>
      </c>
      <c r="O749" s="90" t="str">
        <f>_xlfn.TEXTJOIN(", ",TRUE,$P749:$T749)</f>
        <v>Distrital</v>
      </c>
      <c r="P749" s="87" t="s">
        <v>73</v>
      </c>
      <c r="Q749" s="87"/>
      <c r="R749" s="87"/>
      <c r="S749" s="87"/>
      <c r="T749" s="87"/>
      <c r="U749" s="87"/>
      <c r="V749" s="90" t="str">
        <f>_xlfn.TEXTJOIN(", ",TRUE,$W749:$AB749)</f>
        <v>Distrital</v>
      </c>
      <c r="W749" s="87" t="s">
        <v>73</v>
      </c>
      <c r="X749" s="87"/>
      <c r="Y749" s="87"/>
      <c r="Z749" s="87"/>
      <c r="AA749" s="87"/>
      <c r="AB749" s="87"/>
      <c r="AC749" s="90" t="str">
        <f>_xlfn.TEXTJOIN(", ",TRUE,$AD749:$AM749)</f>
        <v>Distrital</v>
      </c>
      <c r="AD749" s="87" t="s">
        <v>73</v>
      </c>
      <c r="AE749" s="87"/>
      <c r="AF749" s="87"/>
      <c r="AG749" s="87"/>
      <c r="AH749" s="87"/>
      <c r="AI749" s="87"/>
      <c r="AJ749" s="87"/>
      <c r="AK749" s="87"/>
      <c r="AL749" s="87"/>
      <c r="AM749" s="87"/>
      <c r="AN749" s="90" t="s">
        <v>160</v>
      </c>
      <c r="AO749" s="90" t="s">
        <v>3583</v>
      </c>
      <c r="AP749" s="82"/>
      <c r="AQ749" s="87" t="s">
        <v>59</v>
      </c>
      <c r="AR749" s="87" t="s">
        <v>80</v>
      </c>
      <c r="AS749" s="82"/>
      <c r="AT749" s="87">
        <v>5</v>
      </c>
      <c r="AU749" s="87">
        <v>8</v>
      </c>
      <c r="AV749" s="87">
        <f>AT749+AU749</f>
        <v>13</v>
      </c>
      <c r="AW749" s="87" t="str">
        <f>_xlfn.TEXTJOIN(", ",TRUE,$AX749:$AZ749)</f>
        <v>Ninguna</v>
      </c>
      <c r="AX749" s="87" t="s">
        <v>75</v>
      </c>
      <c r="AY749" s="87"/>
      <c r="AZ749" s="87"/>
      <c r="BA749" s="91" t="s">
        <v>3584</v>
      </c>
      <c r="BB749" s="84"/>
      <c r="BC749" s="85"/>
      <c r="BD749" s="85"/>
    </row>
    <row r="750" spans="1:56" s="86" customFormat="1" ht="54.75" customHeight="1">
      <c r="A750" s="78">
        <v>745</v>
      </c>
      <c r="B750" s="79" t="s">
        <v>3585</v>
      </c>
      <c r="C750" s="88">
        <v>45490</v>
      </c>
      <c r="D750" s="89">
        <v>0.58333333333333337</v>
      </c>
      <c r="E750" s="87" t="s">
        <v>93</v>
      </c>
      <c r="F750" s="87" t="s">
        <v>321</v>
      </c>
      <c r="G750" s="87" t="s">
        <v>62</v>
      </c>
      <c r="H750" s="90" t="s">
        <v>3586</v>
      </c>
      <c r="I750" s="90" t="s">
        <v>118</v>
      </c>
      <c r="J750" s="87" t="s">
        <v>70</v>
      </c>
      <c r="K750" s="87" t="s">
        <v>1810</v>
      </c>
      <c r="L750" s="90" t="s">
        <v>2475</v>
      </c>
      <c r="M750" s="91" t="s">
        <v>2753</v>
      </c>
      <c r="N750" s="90" t="s">
        <v>2476</v>
      </c>
      <c r="O750" s="90" t="str">
        <f t="shared" si="133"/>
        <v>Kennedy</v>
      </c>
      <c r="P750" s="87" t="s">
        <v>473</v>
      </c>
      <c r="Q750" s="87"/>
      <c r="R750" s="87"/>
      <c r="S750" s="87"/>
      <c r="T750" s="87"/>
      <c r="U750" s="87"/>
      <c r="V750" s="90" t="str">
        <f t="shared" si="137"/>
        <v>Suroccidente</v>
      </c>
      <c r="W750" s="87" t="s">
        <v>474</v>
      </c>
      <c r="X750" s="87"/>
      <c r="Y750" s="87"/>
      <c r="Z750" s="87"/>
      <c r="AA750" s="87"/>
      <c r="AB750" s="87"/>
      <c r="AC750" s="90" t="str">
        <f t="shared" si="138"/>
        <v>Kennedy</v>
      </c>
      <c r="AD750" s="87" t="s">
        <v>473</v>
      </c>
      <c r="AE750" s="87"/>
      <c r="AF750" s="87"/>
      <c r="AG750" s="87"/>
      <c r="AH750" s="87"/>
      <c r="AI750" s="87"/>
      <c r="AJ750" s="87"/>
      <c r="AK750" s="87"/>
      <c r="AL750" s="87"/>
      <c r="AM750" s="87"/>
      <c r="AN750" s="90" t="s">
        <v>160</v>
      </c>
      <c r="AO750" s="90" t="s">
        <v>2754</v>
      </c>
      <c r="AP750" s="82"/>
      <c r="AQ750" s="87" t="s">
        <v>59</v>
      </c>
      <c r="AR750" s="87" t="s">
        <v>80</v>
      </c>
      <c r="AS750" s="82"/>
      <c r="AT750" s="87">
        <v>14</v>
      </c>
      <c r="AU750" s="87">
        <v>1</v>
      </c>
      <c r="AV750" s="87">
        <f t="shared" si="136"/>
        <v>15</v>
      </c>
      <c r="AW750" s="87" t="str">
        <f t="shared" si="54"/>
        <v>Ninguna</v>
      </c>
      <c r="AX750" s="87" t="s">
        <v>75</v>
      </c>
      <c r="AY750" s="87"/>
      <c r="AZ750" s="87"/>
      <c r="BA750" s="91" t="s">
        <v>3587</v>
      </c>
      <c r="BB750" s="84"/>
      <c r="BC750" s="85"/>
      <c r="BD750" s="85"/>
    </row>
    <row r="751" spans="1:56" s="86" customFormat="1" ht="54.75" customHeight="1">
      <c r="A751" s="87">
        <v>746</v>
      </c>
      <c r="B751" s="79" t="s">
        <v>3588</v>
      </c>
      <c r="C751" s="88">
        <v>45490</v>
      </c>
      <c r="D751" s="89">
        <v>0.60416666666666663</v>
      </c>
      <c r="E751" s="87" t="s">
        <v>58</v>
      </c>
      <c r="F751" s="87" t="s">
        <v>2207</v>
      </c>
      <c r="G751" s="87" t="s">
        <v>62</v>
      </c>
      <c r="H751" s="90" t="s">
        <v>3589</v>
      </c>
      <c r="I751" s="90" t="s">
        <v>64</v>
      </c>
      <c r="J751" s="87" t="s">
        <v>70</v>
      </c>
      <c r="K751" s="87" t="s">
        <v>71</v>
      </c>
      <c r="L751" s="91" t="s">
        <v>72</v>
      </c>
      <c r="M751" s="91" t="s">
        <v>72</v>
      </c>
      <c r="N751" s="90" t="s">
        <v>72</v>
      </c>
      <c r="O751" s="90" t="str">
        <f t="shared" si="133"/>
        <v>Distrital</v>
      </c>
      <c r="P751" s="87" t="s">
        <v>73</v>
      </c>
      <c r="Q751" s="87"/>
      <c r="R751" s="87"/>
      <c r="S751" s="87"/>
      <c r="T751" s="87"/>
      <c r="U751" s="87"/>
      <c r="V751" s="90" t="str">
        <f t="shared" si="137"/>
        <v>Distrital</v>
      </c>
      <c r="W751" s="87" t="s">
        <v>73</v>
      </c>
      <c r="X751" s="87"/>
      <c r="Y751" s="87"/>
      <c r="Z751" s="87"/>
      <c r="AA751" s="87"/>
      <c r="AB751" s="87"/>
      <c r="AC751" s="90" t="str">
        <f t="shared" si="138"/>
        <v>Distrital</v>
      </c>
      <c r="AD751" s="87" t="s">
        <v>73</v>
      </c>
      <c r="AE751" s="87"/>
      <c r="AF751" s="87"/>
      <c r="AG751" s="87"/>
      <c r="AH751" s="87"/>
      <c r="AI751" s="87"/>
      <c r="AJ751" s="87"/>
      <c r="AK751" s="87"/>
      <c r="AL751" s="87"/>
      <c r="AM751" s="87"/>
      <c r="AN751" s="90" t="s">
        <v>1629</v>
      </c>
      <c r="AO751" s="90" t="s">
        <v>3590</v>
      </c>
      <c r="AP751" s="82"/>
      <c r="AQ751" s="87" t="s">
        <v>59</v>
      </c>
      <c r="AR751" s="87" t="s">
        <v>80</v>
      </c>
      <c r="AS751" s="82"/>
      <c r="AT751" s="87">
        <v>0</v>
      </c>
      <c r="AU751" s="87">
        <v>7</v>
      </c>
      <c r="AV751" s="87">
        <f>AT751+AU751</f>
        <v>7</v>
      </c>
      <c r="AW751" s="87" t="str">
        <f>_xlfn.TEXTJOIN(", ",TRUE,$AX751:$AZ751)</f>
        <v>Ninguna</v>
      </c>
      <c r="AX751" s="87" t="s">
        <v>75</v>
      </c>
      <c r="AY751" s="87"/>
      <c r="AZ751" s="87"/>
      <c r="BA751" s="91" t="s">
        <v>3591</v>
      </c>
      <c r="BB751" s="84"/>
      <c r="BC751" s="85"/>
      <c r="BD751" s="85"/>
    </row>
    <row r="752" spans="1:56" s="86" customFormat="1" ht="46.5" customHeight="1">
      <c r="A752" s="78">
        <v>747</v>
      </c>
      <c r="B752" s="79" t="s">
        <v>3592</v>
      </c>
      <c r="C752" s="88">
        <v>45490</v>
      </c>
      <c r="D752" s="89">
        <v>0.60416666666666663</v>
      </c>
      <c r="E752" s="87" t="s">
        <v>58</v>
      </c>
      <c r="F752" s="87" t="s">
        <v>1142</v>
      </c>
      <c r="G752" s="87" t="s">
        <v>62</v>
      </c>
      <c r="H752" s="90" t="s">
        <v>3593</v>
      </c>
      <c r="I752" s="90" t="s">
        <v>64</v>
      </c>
      <c r="J752" s="87" t="s">
        <v>70</v>
      </c>
      <c r="K752" s="87" t="s">
        <v>71</v>
      </c>
      <c r="L752" s="90" t="s">
        <v>3594</v>
      </c>
      <c r="M752" s="91" t="s">
        <v>3595</v>
      </c>
      <c r="N752" s="90" t="s">
        <v>3596</v>
      </c>
      <c r="O752" s="90" t="str">
        <f t="shared" si="79"/>
        <v>Distrital</v>
      </c>
      <c r="P752" s="87" t="s">
        <v>73</v>
      </c>
      <c r="Q752" s="87"/>
      <c r="R752" s="87"/>
      <c r="S752" s="87"/>
      <c r="T752" s="87"/>
      <c r="U752" s="87"/>
      <c r="V752" s="90" t="str">
        <f t="shared" si="82"/>
        <v>Distrital</v>
      </c>
      <c r="W752" s="87" t="s">
        <v>73</v>
      </c>
      <c r="X752" s="87"/>
      <c r="Y752" s="87"/>
      <c r="Z752" s="87"/>
      <c r="AA752" s="87"/>
      <c r="AB752" s="87"/>
      <c r="AC752" s="90" t="str">
        <f t="shared" si="83"/>
        <v>Distrital</v>
      </c>
      <c r="AD752" s="87" t="s">
        <v>73</v>
      </c>
      <c r="AE752" s="87"/>
      <c r="AF752" s="87"/>
      <c r="AG752" s="87"/>
      <c r="AH752" s="87"/>
      <c r="AI752" s="87"/>
      <c r="AJ752" s="87"/>
      <c r="AK752" s="87"/>
      <c r="AL752" s="87"/>
      <c r="AM752" s="87"/>
      <c r="AN752" s="90" t="s">
        <v>2386</v>
      </c>
      <c r="AO752" s="90" t="s">
        <v>3597</v>
      </c>
      <c r="AP752" s="82"/>
      <c r="AQ752" s="87" t="s">
        <v>59</v>
      </c>
      <c r="AR752" s="87" t="s">
        <v>80</v>
      </c>
      <c r="AS752" s="82"/>
      <c r="AT752" s="87">
        <v>0</v>
      </c>
      <c r="AU752" s="87">
        <v>6</v>
      </c>
      <c r="AV752" s="87">
        <f t="shared" ref="AV752" si="139">AT752+AU752</f>
        <v>6</v>
      </c>
      <c r="AW752" s="87" t="str">
        <f>_xlfn.TEXTJOIN(", ",TRUE,$AX752:$AZ752)</f>
        <v>Ninguna</v>
      </c>
      <c r="AX752" s="87" t="s">
        <v>75</v>
      </c>
      <c r="AY752" s="87"/>
      <c r="AZ752" s="87"/>
      <c r="BA752" s="91" t="s">
        <v>3598</v>
      </c>
      <c r="BB752" s="84"/>
      <c r="BC752" s="85"/>
      <c r="BD752" s="85"/>
    </row>
    <row r="753" spans="1:56" s="86" customFormat="1" ht="54.75" customHeight="1">
      <c r="A753" s="87">
        <v>748</v>
      </c>
      <c r="B753" s="79" t="s">
        <v>3599</v>
      </c>
      <c r="C753" s="88">
        <v>45490</v>
      </c>
      <c r="D753" s="89">
        <v>0.625</v>
      </c>
      <c r="E753" s="87" t="s">
        <v>58</v>
      </c>
      <c r="F753" s="87" t="s">
        <v>2680</v>
      </c>
      <c r="G753" s="87" t="s">
        <v>62</v>
      </c>
      <c r="H753" s="90" t="s">
        <v>3600</v>
      </c>
      <c r="I753" s="90" t="s">
        <v>128</v>
      </c>
      <c r="J753" s="87" t="s">
        <v>119</v>
      </c>
      <c r="K753" s="87" t="s">
        <v>120</v>
      </c>
      <c r="L753" s="90" t="s">
        <v>72</v>
      </c>
      <c r="M753" s="91" t="s">
        <v>72</v>
      </c>
      <c r="N753" s="90" t="s">
        <v>72</v>
      </c>
      <c r="O753" s="90" t="str">
        <f t="shared" si="133"/>
        <v>Kennedy</v>
      </c>
      <c r="P753" s="87" t="s">
        <v>473</v>
      </c>
      <c r="Q753" s="87"/>
      <c r="R753" s="87"/>
      <c r="S753" s="87"/>
      <c r="T753" s="87"/>
      <c r="U753" s="87"/>
      <c r="V753" s="90" t="str">
        <f t="shared" si="137"/>
        <v>Suroccidente</v>
      </c>
      <c r="W753" s="87" t="s">
        <v>474</v>
      </c>
      <c r="X753" s="87"/>
      <c r="Y753" s="87"/>
      <c r="Z753" s="87"/>
      <c r="AA753" s="87"/>
      <c r="AB753" s="87"/>
      <c r="AC753" s="90" t="str">
        <f t="shared" si="138"/>
        <v>Edén</v>
      </c>
      <c r="AD753" s="87" t="s">
        <v>704</v>
      </c>
      <c r="AE753" s="87"/>
      <c r="AF753" s="87"/>
      <c r="AG753" s="87"/>
      <c r="AH753" s="87"/>
      <c r="AI753" s="87"/>
      <c r="AJ753" s="87"/>
      <c r="AK753" s="87"/>
      <c r="AL753" s="87"/>
      <c r="AM753" s="87"/>
      <c r="AN753" s="90" t="s">
        <v>160</v>
      </c>
      <c r="AO753" s="90" t="s">
        <v>3601</v>
      </c>
      <c r="AP753" s="82"/>
      <c r="AQ753" s="87" t="s">
        <v>59</v>
      </c>
      <c r="AR753" s="87" t="s">
        <v>80</v>
      </c>
      <c r="AS753" s="82"/>
      <c r="AT753" s="87">
        <v>7</v>
      </c>
      <c r="AU753" s="87">
        <v>1</v>
      </c>
      <c r="AV753" s="87">
        <f t="shared" si="136"/>
        <v>8</v>
      </c>
      <c r="AW753" s="87" t="str">
        <f t="shared" si="54"/>
        <v>Accesibilidad Universal, Horarios Acordes</v>
      </c>
      <c r="AX753" s="87" t="s">
        <v>246</v>
      </c>
      <c r="AY753" s="87" t="s">
        <v>213</v>
      </c>
      <c r="AZ753" s="87"/>
      <c r="BA753" s="91" t="s">
        <v>3602</v>
      </c>
      <c r="BB753" s="84"/>
      <c r="BC753" s="85"/>
      <c r="BD753" s="85"/>
    </row>
    <row r="754" spans="1:56" s="86" customFormat="1" ht="54.75" customHeight="1">
      <c r="A754" s="78">
        <v>749</v>
      </c>
      <c r="B754" s="79" t="s">
        <v>3603</v>
      </c>
      <c r="C754" s="88">
        <v>45491</v>
      </c>
      <c r="D754" s="89">
        <v>0.45833333333333331</v>
      </c>
      <c r="E754" s="87" t="s">
        <v>58</v>
      </c>
      <c r="F754" s="87" t="s">
        <v>1437</v>
      </c>
      <c r="G754" s="87" t="s">
        <v>62</v>
      </c>
      <c r="H754" s="90" t="s">
        <v>3604</v>
      </c>
      <c r="I754" s="90" t="s">
        <v>118</v>
      </c>
      <c r="J754" s="87" t="s">
        <v>70</v>
      </c>
      <c r="K754" s="87" t="s">
        <v>71</v>
      </c>
      <c r="L754" s="90" t="s">
        <v>72</v>
      </c>
      <c r="M754" s="90" t="s">
        <v>72</v>
      </c>
      <c r="N754" s="90" t="s">
        <v>72</v>
      </c>
      <c r="O754" s="90" t="str">
        <f t="shared" si="133"/>
        <v>Distrital</v>
      </c>
      <c r="P754" s="87" t="s">
        <v>73</v>
      </c>
      <c r="Q754" s="87"/>
      <c r="R754" s="87"/>
      <c r="S754" s="87"/>
      <c r="T754" s="87"/>
      <c r="U754" s="87"/>
      <c r="V754" s="90" t="str">
        <f t="shared" si="82"/>
        <v>Distrital</v>
      </c>
      <c r="W754" s="87" t="s">
        <v>73</v>
      </c>
      <c r="X754" s="87"/>
      <c r="Y754" s="87"/>
      <c r="Z754" s="87"/>
      <c r="AA754" s="87"/>
      <c r="AB754" s="87"/>
      <c r="AC754" s="90" t="str">
        <f t="shared" si="83"/>
        <v>Distrital</v>
      </c>
      <c r="AD754" s="87" t="s">
        <v>73</v>
      </c>
      <c r="AE754" s="87"/>
      <c r="AF754" s="87"/>
      <c r="AG754" s="87"/>
      <c r="AH754" s="87"/>
      <c r="AI754" s="87"/>
      <c r="AJ754" s="87"/>
      <c r="AK754" s="87"/>
      <c r="AL754" s="87"/>
      <c r="AM754" s="87"/>
      <c r="AN754" s="90" t="s">
        <v>160</v>
      </c>
      <c r="AO754" s="90" t="s">
        <v>3605</v>
      </c>
      <c r="AP754" s="82"/>
      <c r="AQ754" s="87" t="s">
        <v>59</v>
      </c>
      <c r="AR754" s="87" t="s">
        <v>80</v>
      </c>
      <c r="AS754" s="82"/>
      <c r="AT754" s="87">
        <v>0</v>
      </c>
      <c r="AU754" s="87">
        <v>7</v>
      </c>
      <c r="AV754" s="87">
        <f t="shared" si="136"/>
        <v>7</v>
      </c>
      <c r="AW754" s="87" t="str">
        <f t="shared" si="54"/>
        <v>Ninguna</v>
      </c>
      <c r="AX754" s="87" t="s">
        <v>75</v>
      </c>
      <c r="AY754" s="87"/>
      <c r="AZ754" s="87"/>
      <c r="BA754" s="91" t="s">
        <v>3606</v>
      </c>
      <c r="BB754" s="84"/>
      <c r="BC754" s="85"/>
      <c r="BD754" s="85"/>
    </row>
    <row r="755" spans="1:56" s="86" customFormat="1" ht="54.75" customHeight="1">
      <c r="A755" s="87">
        <v>750</v>
      </c>
      <c r="B755" s="79" t="s">
        <v>3607</v>
      </c>
      <c r="C755" s="88">
        <v>45491</v>
      </c>
      <c r="D755" s="89">
        <v>0.5625</v>
      </c>
      <c r="E755" s="87" t="s">
        <v>58</v>
      </c>
      <c r="F755" s="87" t="s">
        <v>2680</v>
      </c>
      <c r="G755" s="87" t="s">
        <v>62</v>
      </c>
      <c r="H755" s="90" t="s">
        <v>3608</v>
      </c>
      <c r="I755" s="90" t="s">
        <v>128</v>
      </c>
      <c r="J755" s="87" t="s">
        <v>119</v>
      </c>
      <c r="K755" s="87" t="s">
        <v>217</v>
      </c>
      <c r="L755" s="90" t="s">
        <v>72</v>
      </c>
      <c r="M755" s="90" t="s">
        <v>72</v>
      </c>
      <c r="N755" s="90" t="s">
        <v>72</v>
      </c>
      <c r="O755" s="90" t="str">
        <f t="shared" si="133"/>
        <v>Santa Fe</v>
      </c>
      <c r="P755" s="87" t="s">
        <v>541</v>
      </c>
      <c r="Q755" s="87"/>
      <c r="R755" s="87"/>
      <c r="S755" s="87"/>
      <c r="T755" s="87"/>
      <c r="U755" s="87"/>
      <c r="V755" s="90" t="str">
        <f t="shared" si="137"/>
        <v>Centro Ampliado</v>
      </c>
      <c r="W755" s="87" t="s">
        <v>415</v>
      </c>
      <c r="X755" s="87"/>
      <c r="Y755" s="87"/>
      <c r="Z755" s="87"/>
      <c r="AA755" s="87"/>
      <c r="AB755" s="87"/>
      <c r="AC755" s="90" t="str">
        <f t="shared" si="138"/>
        <v>Centro Histórico</v>
      </c>
      <c r="AD755" s="87" t="s">
        <v>488</v>
      </c>
      <c r="AE755" s="87"/>
      <c r="AF755" s="87"/>
      <c r="AG755" s="87"/>
      <c r="AH755" s="87"/>
      <c r="AI755" s="87"/>
      <c r="AJ755" s="87"/>
      <c r="AK755" s="87"/>
      <c r="AL755" s="87"/>
      <c r="AM755" s="87"/>
      <c r="AN755" s="90" t="s">
        <v>3609</v>
      </c>
      <c r="AO755" s="90" t="s">
        <v>3610</v>
      </c>
      <c r="AP755" s="82"/>
      <c r="AQ755" s="87" t="s">
        <v>59</v>
      </c>
      <c r="AR755" s="87" t="s">
        <v>80</v>
      </c>
      <c r="AS755" s="82"/>
      <c r="AT755" s="87">
        <v>4</v>
      </c>
      <c r="AU755" s="87">
        <v>1</v>
      </c>
      <c r="AV755" s="87">
        <f t="shared" si="136"/>
        <v>5</v>
      </c>
      <c r="AW755" s="87" t="str">
        <f t="shared" si="54"/>
        <v>Accesibilidad Universal</v>
      </c>
      <c r="AX755" s="87" t="s">
        <v>246</v>
      </c>
      <c r="AY755" s="87"/>
      <c r="AZ755" s="87"/>
      <c r="BA755" s="91" t="s">
        <v>3611</v>
      </c>
      <c r="BB755" s="84"/>
      <c r="BC755" s="85"/>
      <c r="BD755" s="85"/>
    </row>
    <row r="756" spans="1:56" s="86" customFormat="1" ht="60" customHeight="1">
      <c r="A756" s="78">
        <v>751</v>
      </c>
      <c r="B756" s="79" t="s">
        <v>3612</v>
      </c>
      <c r="C756" s="88">
        <v>45491</v>
      </c>
      <c r="D756" s="89">
        <v>0.58333333333333337</v>
      </c>
      <c r="E756" s="87" t="s">
        <v>58</v>
      </c>
      <c r="F756" s="87" t="s">
        <v>1437</v>
      </c>
      <c r="G756" s="87" t="s">
        <v>62</v>
      </c>
      <c r="H756" s="90" t="s">
        <v>3613</v>
      </c>
      <c r="I756" s="90" t="s">
        <v>118</v>
      </c>
      <c r="J756" s="87" t="s">
        <v>173</v>
      </c>
      <c r="K756" s="87"/>
      <c r="L756" s="90" t="s">
        <v>72</v>
      </c>
      <c r="M756" s="90" t="s">
        <v>72</v>
      </c>
      <c r="N756" s="90" t="s">
        <v>72</v>
      </c>
      <c r="O756" s="90" t="str">
        <f>_xlfn.TEXTJOIN(", ",TRUE,$P756:$T756)</f>
        <v>Distrital</v>
      </c>
      <c r="P756" s="87" t="s">
        <v>73</v>
      </c>
      <c r="Q756" s="87"/>
      <c r="R756" s="87"/>
      <c r="S756" s="87"/>
      <c r="T756" s="87"/>
      <c r="U756" s="87"/>
      <c r="V756" s="90" t="str">
        <f>_xlfn.TEXTJOIN(", ",TRUE,$W756:$AB756)</f>
        <v>Distrital</v>
      </c>
      <c r="W756" s="87" t="s">
        <v>73</v>
      </c>
      <c r="X756" s="87"/>
      <c r="Y756" s="87"/>
      <c r="Z756" s="87"/>
      <c r="AA756" s="87"/>
      <c r="AB756" s="87"/>
      <c r="AC756" s="90" t="str">
        <f>_xlfn.TEXTJOIN(", ",TRUE,$AD756:$AM756)</f>
        <v>Distrital</v>
      </c>
      <c r="AD756" s="87" t="s">
        <v>73</v>
      </c>
      <c r="AE756" s="87"/>
      <c r="AF756" s="87"/>
      <c r="AG756" s="87"/>
      <c r="AH756" s="87"/>
      <c r="AI756" s="87"/>
      <c r="AJ756" s="87"/>
      <c r="AK756" s="87"/>
      <c r="AL756" s="87"/>
      <c r="AM756" s="87"/>
      <c r="AN756" s="90" t="s">
        <v>221</v>
      </c>
      <c r="AO756" s="90" t="s">
        <v>3614</v>
      </c>
      <c r="AP756" s="82"/>
      <c r="AQ756" s="87" t="s">
        <v>59</v>
      </c>
      <c r="AR756" s="87" t="s">
        <v>80</v>
      </c>
      <c r="AS756" s="82"/>
      <c r="AT756" s="87">
        <v>5</v>
      </c>
      <c r="AU756" s="87">
        <v>8</v>
      </c>
      <c r="AV756" s="87">
        <f>AT756+AU756</f>
        <v>13</v>
      </c>
      <c r="AW756" s="87" t="str">
        <f>_xlfn.TEXTJOIN(", ",TRUE,$AX756:$AZ756)</f>
        <v>Ninguna</v>
      </c>
      <c r="AX756" s="87" t="s">
        <v>75</v>
      </c>
      <c r="AY756" s="87"/>
      <c r="AZ756" s="87"/>
      <c r="BA756" s="91" t="s">
        <v>3615</v>
      </c>
      <c r="BB756" s="84"/>
      <c r="BC756" s="85"/>
      <c r="BD756" s="85"/>
    </row>
    <row r="757" spans="1:56" s="86" customFormat="1" ht="54.75" customHeight="1">
      <c r="A757" s="87">
        <v>752</v>
      </c>
      <c r="B757" s="79" t="s">
        <v>3616</v>
      </c>
      <c r="C757" s="88">
        <v>45491</v>
      </c>
      <c r="D757" s="89">
        <v>0.58333333333333337</v>
      </c>
      <c r="E757" s="87" t="s">
        <v>58</v>
      </c>
      <c r="F757" s="87" t="s">
        <v>1142</v>
      </c>
      <c r="G757" s="87" t="s">
        <v>95</v>
      </c>
      <c r="H757" s="90" t="s">
        <v>3617</v>
      </c>
      <c r="I757" s="90" t="s">
        <v>118</v>
      </c>
      <c r="J757" s="87" t="s">
        <v>70</v>
      </c>
      <c r="K757" s="87" t="s">
        <v>71</v>
      </c>
      <c r="L757" s="90" t="s">
        <v>794</v>
      </c>
      <c r="M757" s="91" t="s">
        <v>3419</v>
      </c>
      <c r="N757" s="90" t="s">
        <v>3618</v>
      </c>
      <c r="O757" s="90" t="str">
        <f>_xlfn.TEXTJOIN(", ",TRUE,$P757:$T757)</f>
        <v>Distrital</v>
      </c>
      <c r="P757" s="87" t="s">
        <v>73</v>
      </c>
      <c r="Q757" s="87"/>
      <c r="R757" s="87"/>
      <c r="S757" s="87"/>
      <c r="T757" s="87"/>
      <c r="U757" s="87"/>
      <c r="V757" s="90" t="str">
        <f>_xlfn.TEXTJOIN(", ",TRUE,$W757:$AB757)</f>
        <v>Distrital</v>
      </c>
      <c r="W757" s="87" t="s">
        <v>73</v>
      </c>
      <c r="X757" s="87"/>
      <c r="Y757" s="87"/>
      <c r="Z757" s="87"/>
      <c r="AA757" s="87"/>
      <c r="AB757" s="87"/>
      <c r="AC757" s="90" t="str">
        <f>_xlfn.TEXTJOIN(", ",TRUE,$AD757:$AM757)</f>
        <v>Distrital</v>
      </c>
      <c r="AD757" s="87" t="s">
        <v>73</v>
      </c>
      <c r="AE757" s="87"/>
      <c r="AF757" s="87"/>
      <c r="AG757" s="87"/>
      <c r="AH757" s="87"/>
      <c r="AI757" s="87"/>
      <c r="AJ757" s="87"/>
      <c r="AK757" s="87"/>
      <c r="AL757" s="87"/>
      <c r="AM757" s="87"/>
      <c r="AN757" s="90" t="s">
        <v>160</v>
      </c>
      <c r="AO757" s="102" t="s">
        <v>2638</v>
      </c>
      <c r="AP757" s="82"/>
      <c r="AQ757" s="87" t="s">
        <v>59</v>
      </c>
      <c r="AR757" s="87" t="s">
        <v>80</v>
      </c>
      <c r="AS757" s="82"/>
      <c r="AT757" s="87">
        <v>5</v>
      </c>
      <c r="AU757" s="87">
        <v>4</v>
      </c>
      <c r="AV757" s="87">
        <f>AT757+AU757</f>
        <v>9</v>
      </c>
      <c r="AW757" s="87" t="str">
        <f>_xlfn.TEXTJOIN(", ",TRUE,$AX757:$AZ757)</f>
        <v>Ninguna</v>
      </c>
      <c r="AX757" s="87" t="s">
        <v>75</v>
      </c>
      <c r="AY757" s="87"/>
      <c r="AZ757" s="87"/>
      <c r="BA757" s="91" t="s">
        <v>3619</v>
      </c>
      <c r="BB757" s="84"/>
      <c r="BC757" s="85"/>
      <c r="BD757" s="85"/>
    </row>
    <row r="758" spans="1:56" s="86" customFormat="1" ht="46.5" customHeight="1">
      <c r="A758" s="78">
        <v>753</v>
      </c>
      <c r="B758" s="79" t="s">
        <v>3620</v>
      </c>
      <c r="C758" s="88">
        <v>45491</v>
      </c>
      <c r="D758" s="89">
        <v>0.70833333333333337</v>
      </c>
      <c r="E758" s="87" t="s">
        <v>93</v>
      </c>
      <c r="F758" s="87" t="s">
        <v>102</v>
      </c>
      <c r="G758" s="87" t="s">
        <v>95</v>
      </c>
      <c r="H758" s="90" t="s">
        <v>3621</v>
      </c>
      <c r="I758" s="90" t="s">
        <v>118</v>
      </c>
      <c r="J758" s="87" t="s">
        <v>119</v>
      </c>
      <c r="K758" s="87" t="s">
        <v>129</v>
      </c>
      <c r="L758" s="90" t="s">
        <v>3146</v>
      </c>
      <c r="M758" s="91" t="s">
        <v>3012</v>
      </c>
      <c r="N758" s="90" t="s">
        <v>439</v>
      </c>
      <c r="O758" s="90" t="str">
        <f t="shared" si="79"/>
        <v>Distrital</v>
      </c>
      <c r="P758" s="87" t="s">
        <v>73</v>
      </c>
      <c r="Q758" s="87"/>
      <c r="R758" s="87"/>
      <c r="S758" s="87"/>
      <c r="T758" s="87"/>
      <c r="U758" s="87"/>
      <c r="V758" s="90" t="str">
        <f t="shared" si="82"/>
        <v>Distrital</v>
      </c>
      <c r="W758" s="87" t="s">
        <v>73</v>
      </c>
      <c r="X758" s="87"/>
      <c r="Y758" s="87"/>
      <c r="Z758" s="87"/>
      <c r="AA758" s="87"/>
      <c r="AB758" s="87"/>
      <c r="AC758" s="90" t="str">
        <f t="shared" si="83"/>
        <v>Distrital</v>
      </c>
      <c r="AD758" s="87" t="s">
        <v>73</v>
      </c>
      <c r="AE758" s="87"/>
      <c r="AF758" s="87"/>
      <c r="AG758" s="87"/>
      <c r="AH758" s="87"/>
      <c r="AI758" s="87"/>
      <c r="AJ758" s="87"/>
      <c r="AK758" s="87"/>
      <c r="AL758" s="87"/>
      <c r="AM758" s="87"/>
      <c r="AN758" s="90" t="s">
        <v>160</v>
      </c>
      <c r="AO758" s="111" t="s">
        <v>2638</v>
      </c>
      <c r="AP758" s="82"/>
      <c r="AQ758" s="87" t="s">
        <v>59</v>
      </c>
      <c r="AR758" s="87" t="s">
        <v>80</v>
      </c>
      <c r="AS758" s="82"/>
      <c r="AT758" s="87">
        <v>74</v>
      </c>
      <c r="AU758" s="87">
        <v>1</v>
      </c>
      <c r="AV758" s="87">
        <f t="shared" si="136"/>
        <v>75</v>
      </c>
      <c r="AW758" s="87" t="str">
        <f t="shared" si="54"/>
        <v>Ninguna</v>
      </c>
      <c r="AX758" s="87" t="s">
        <v>75</v>
      </c>
      <c r="AY758" s="87"/>
      <c r="AZ758" s="87"/>
      <c r="BA758" s="91" t="s">
        <v>3622</v>
      </c>
      <c r="BB758" s="84"/>
      <c r="BC758" s="85"/>
      <c r="BD758" s="85"/>
    </row>
    <row r="759" spans="1:56" s="86" customFormat="1" ht="46.5" customHeight="1">
      <c r="A759" s="87">
        <v>754</v>
      </c>
      <c r="B759" s="79" t="s">
        <v>3623</v>
      </c>
      <c r="C759" s="88">
        <v>45491</v>
      </c>
      <c r="D759" s="89">
        <v>0.70833333333333337</v>
      </c>
      <c r="E759" s="87" t="s">
        <v>58</v>
      </c>
      <c r="F759" s="87" t="s">
        <v>2680</v>
      </c>
      <c r="G759" s="87" t="s">
        <v>62</v>
      </c>
      <c r="H759" s="90" t="s">
        <v>3624</v>
      </c>
      <c r="I759" s="90" t="s">
        <v>128</v>
      </c>
      <c r="J759" s="87" t="s">
        <v>119</v>
      </c>
      <c r="K759" s="87" t="s">
        <v>120</v>
      </c>
      <c r="L759" s="90" t="s">
        <v>3625</v>
      </c>
      <c r="M759" s="91" t="s">
        <v>3296</v>
      </c>
      <c r="N759" s="90" t="s">
        <v>3626</v>
      </c>
      <c r="O759" s="90" t="str">
        <f t="shared" si="133"/>
        <v>Suba</v>
      </c>
      <c r="P759" s="87" t="s">
        <v>394</v>
      </c>
      <c r="Q759" s="87"/>
      <c r="R759" s="87"/>
      <c r="S759" s="87"/>
      <c r="T759" s="87"/>
      <c r="U759" s="87"/>
      <c r="V759" s="90" t="str">
        <f t="shared" si="137"/>
        <v>Norte</v>
      </c>
      <c r="W759" s="87" t="s">
        <v>429</v>
      </c>
      <c r="X759" s="87"/>
      <c r="Y759" s="87"/>
      <c r="Z759" s="87"/>
      <c r="AA759" s="87"/>
      <c r="AB759" s="87"/>
      <c r="AC759" s="90" t="str">
        <f t="shared" si="138"/>
        <v>Niza</v>
      </c>
      <c r="AD759" s="87" t="s">
        <v>571</v>
      </c>
      <c r="AE759" s="87"/>
      <c r="AF759" s="87"/>
      <c r="AG759" s="87"/>
      <c r="AH759" s="87"/>
      <c r="AI759" s="87"/>
      <c r="AJ759" s="87"/>
      <c r="AK759" s="87"/>
      <c r="AL759" s="87"/>
      <c r="AM759" s="87"/>
      <c r="AN759" s="90" t="s">
        <v>3627</v>
      </c>
      <c r="AO759" s="90" t="s">
        <v>3298</v>
      </c>
      <c r="AP759" s="82"/>
      <c r="AQ759" s="87" t="s">
        <v>59</v>
      </c>
      <c r="AR759" s="87" t="s">
        <v>80</v>
      </c>
      <c r="AS759" s="82"/>
      <c r="AT759" s="87">
        <v>25</v>
      </c>
      <c r="AU759" s="87">
        <v>1</v>
      </c>
      <c r="AV759" s="87">
        <f t="shared" si="136"/>
        <v>26</v>
      </c>
      <c r="AW759" s="87" t="str">
        <f t="shared" si="54"/>
        <v>Horarios Acordes</v>
      </c>
      <c r="AX759" s="87" t="s">
        <v>213</v>
      </c>
      <c r="AY759" s="87"/>
      <c r="AZ759" s="87"/>
      <c r="BA759" s="91" t="s">
        <v>3628</v>
      </c>
      <c r="BB759" s="84"/>
      <c r="BC759" s="85"/>
      <c r="BD759" s="85"/>
    </row>
    <row r="760" spans="1:56" s="86" customFormat="1" ht="46.5" customHeight="1">
      <c r="A760" s="78">
        <v>755</v>
      </c>
      <c r="B760" s="79" t="s">
        <v>3629</v>
      </c>
      <c r="C760" s="88">
        <v>45491</v>
      </c>
      <c r="D760" s="89">
        <v>0.70833333333333337</v>
      </c>
      <c r="E760" s="87" t="s">
        <v>58</v>
      </c>
      <c r="F760" s="87" t="s">
        <v>2680</v>
      </c>
      <c r="G760" s="87" t="s">
        <v>62</v>
      </c>
      <c r="H760" s="90" t="s">
        <v>3630</v>
      </c>
      <c r="I760" s="90" t="s">
        <v>128</v>
      </c>
      <c r="J760" s="87" t="s">
        <v>119</v>
      </c>
      <c r="K760" s="87" t="s">
        <v>217</v>
      </c>
      <c r="L760" s="90" t="s">
        <v>3631</v>
      </c>
      <c r="M760" s="91" t="s">
        <v>3632</v>
      </c>
      <c r="N760" s="90" t="s">
        <v>3633</v>
      </c>
      <c r="O760" s="90" t="str">
        <f t="shared" si="133"/>
        <v>Engativá</v>
      </c>
      <c r="P760" s="87" t="s">
        <v>123</v>
      </c>
      <c r="Q760" s="87"/>
      <c r="R760" s="87"/>
      <c r="S760" s="87"/>
      <c r="T760" s="87"/>
      <c r="U760" s="87"/>
      <c r="V760" s="90" t="str">
        <f t="shared" si="137"/>
        <v>Occidente</v>
      </c>
      <c r="W760" s="87" t="s">
        <v>124</v>
      </c>
      <c r="X760" s="87"/>
      <c r="Y760" s="87"/>
      <c r="Z760" s="87"/>
      <c r="AA760" s="87"/>
      <c r="AB760" s="87"/>
      <c r="AC760" s="90" t="str">
        <f t="shared" si="138"/>
        <v>Engativá</v>
      </c>
      <c r="AD760" s="87" t="s">
        <v>123</v>
      </c>
      <c r="AE760" s="87"/>
      <c r="AF760" s="87"/>
      <c r="AG760" s="87"/>
      <c r="AH760" s="87"/>
      <c r="AI760" s="87"/>
      <c r="AJ760" s="87"/>
      <c r="AK760" s="87"/>
      <c r="AL760" s="87"/>
      <c r="AM760" s="87"/>
      <c r="AN760" s="90" t="s">
        <v>3634</v>
      </c>
      <c r="AO760" s="90" t="s">
        <v>3334</v>
      </c>
      <c r="AP760" s="82"/>
      <c r="AQ760" s="87" t="s">
        <v>59</v>
      </c>
      <c r="AR760" s="87" t="s">
        <v>80</v>
      </c>
      <c r="AS760" s="82"/>
      <c r="AT760" s="87">
        <v>8</v>
      </c>
      <c r="AU760" s="87">
        <v>1</v>
      </c>
      <c r="AV760" s="87">
        <f t="shared" si="136"/>
        <v>9</v>
      </c>
      <c r="AW760" s="87" t="str">
        <f t="shared" si="54"/>
        <v>Accesibilidad Universal</v>
      </c>
      <c r="AX760" s="87" t="s">
        <v>246</v>
      </c>
      <c r="AY760" s="87"/>
      <c r="AZ760" s="87"/>
      <c r="BA760" s="91" t="s">
        <v>3635</v>
      </c>
      <c r="BB760" s="84"/>
      <c r="BC760" s="85"/>
      <c r="BD760" s="85"/>
    </row>
    <row r="761" spans="1:56" s="86" customFormat="1" ht="46.5" customHeight="1">
      <c r="A761" s="87">
        <v>756</v>
      </c>
      <c r="B761" s="79" t="s">
        <v>3636</v>
      </c>
      <c r="C761" s="88">
        <v>45492</v>
      </c>
      <c r="D761" s="89">
        <v>0.41666666666666669</v>
      </c>
      <c r="E761" s="87" t="s">
        <v>58</v>
      </c>
      <c r="F761" s="87" t="s">
        <v>135</v>
      </c>
      <c r="G761" s="87" t="s">
        <v>62</v>
      </c>
      <c r="H761" s="90" t="s">
        <v>3637</v>
      </c>
      <c r="I761" s="90" t="s">
        <v>118</v>
      </c>
      <c r="J761" s="87" t="s">
        <v>173</v>
      </c>
      <c r="K761" s="87"/>
      <c r="L761" s="90" t="s">
        <v>72</v>
      </c>
      <c r="M761" s="90" t="s">
        <v>72</v>
      </c>
      <c r="N761" s="90" t="s">
        <v>72</v>
      </c>
      <c r="O761" s="90" t="str">
        <f>_xlfn.TEXTJOIN(", ",TRUE,$P761:$T761)</f>
        <v>Distrital</v>
      </c>
      <c r="P761" s="87" t="s">
        <v>73</v>
      </c>
      <c r="Q761" s="87"/>
      <c r="R761" s="87"/>
      <c r="S761" s="87"/>
      <c r="T761" s="87"/>
      <c r="U761" s="87"/>
      <c r="V761" s="90" t="str">
        <f>_xlfn.TEXTJOIN(", ",TRUE,$W761:$AB761)</f>
        <v>Distrital</v>
      </c>
      <c r="W761" s="87" t="s">
        <v>73</v>
      </c>
      <c r="X761" s="87"/>
      <c r="Y761" s="87"/>
      <c r="Z761" s="87"/>
      <c r="AA761" s="87"/>
      <c r="AB761" s="87"/>
      <c r="AC761" s="90" t="str">
        <f>_xlfn.TEXTJOIN(", ",TRUE,$AD761:$AM761)</f>
        <v>Distrital</v>
      </c>
      <c r="AD761" s="87" t="s">
        <v>73</v>
      </c>
      <c r="AE761" s="87"/>
      <c r="AF761" s="87"/>
      <c r="AG761" s="87"/>
      <c r="AH761" s="87"/>
      <c r="AI761" s="87"/>
      <c r="AJ761" s="87"/>
      <c r="AK761" s="87"/>
      <c r="AL761" s="87"/>
      <c r="AM761" s="87"/>
      <c r="AN761" s="90" t="s">
        <v>160</v>
      </c>
      <c r="AO761" s="90" t="s">
        <v>3638</v>
      </c>
      <c r="AP761" s="82"/>
      <c r="AQ761" s="87"/>
      <c r="AR761" s="87"/>
      <c r="AS761" s="82"/>
      <c r="AT761" s="87">
        <v>3</v>
      </c>
      <c r="AU761" s="87">
        <v>6</v>
      </c>
      <c r="AV761" s="87">
        <f t="shared" si="136"/>
        <v>9</v>
      </c>
      <c r="AW761" s="87" t="str">
        <f t="shared" si="54"/>
        <v>Ninguna</v>
      </c>
      <c r="AX761" s="87" t="s">
        <v>75</v>
      </c>
      <c r="AY761" s="87"/>
      <c r="AZ761" s="87"/>
      <c r="BA761" s="91" t="s">
        <v>3639</v>
      </c>
      <c r="BB761" s="84"/>
      <c r="BC761" s="85"/>
      <c r="BD761" s="85"/>
    </row>
    <row r="762" spans="1:56" s="86" customFormat="1" ht="56.25" customHeight="1">
      <c r="A762" s="78">
        <v>757</v>
      </c>
      <c r="B762" s="79" t="s">
        <v>3640</v>
      </c>
      <c r="C762" s="88">
        <v>45492</v>
      </c>
      <c r="D762" s="89">
        <v>0.45833333333333331</v>
      </c>
      <c r="E762" s="87" t="s">
        <v>58</v>
      </c>
      <c r="F762" s="87" t="s">
        <v>2680</v>
      </c>
      <c r="G762" s="87" t="s">
        <v>62</v>
      </c>
      <c r="H762" s="90" t="s">
        <v>3519</v>
      </c>
      <c r="I762" s="90" t="s">
        <v>128</v>
      </c>
      <c r="J762" s="87" t="s">
        <v>70</v>
      </c>
      <c r="K762" s="87" t="s">
        <v>104</v>
      </c>
      <c r="L762" s="90" t="s">
        <v>3641</v>
      </c>
      <c r="M762" s="91" t="s">
        <v>3642</v>
      </c>
      <c r="N762" s="90" t="s">
        <v>3643</v>
      </c>
      <c r="O762" s="90" t="str">
        <f t="shared" si="133"/>
        <v>Ciudad Bolívar</v>
      </c>
      <c r="P762" s="87" t="s">
        <v>107</v>
      </c>
      <c r="Q762" s="87"/>
      <c r="R762" s="87"/>
      <c r="S762" s="87"/>
      <c r="T762" s="87"/>
      <c r="U762" s="87"/>
      <c r="V762" s="90" t="str">
        <f t="shared" si="137"/>
        <v>Suroriente</v>
      </c>
      <c r="W762" s="87" t="s">
        <v>108</v>
      </c>
      <c r="X762" s="87"/>
      <c r="Y762" s="87"/>
      <c r="Z762" s="87"/>
      <c r="AA762" s="87"/>
      <c r="AB762" s="87"/>
      <c r="AC762" s="90" t="str">
        <f t="shared" si="138"/>
        <v>Lucero, Arborizadora, Cuenca del Tunjuelo</v>
      </c>
      <c r="AD762" s="87" t="s">
        <v>111</v>
      </c>
      <c r="AE762" s="87" t="s">
        <v>110</v>
      </c>
      <c r="AF762" s="87" t="s">
        <v>112</v>
      </c>
      <c r="AG762" s="87"/>
      <c r="AH762" s="87"/>
      <c r="AI762" s="87"/>
      <c r="AJ762" s="87"/>
      <c r="AK762" s="87"/>
      <c r="AL762" s="87"/>
      <c r="AM762" s="87"/>
      <c r="AN762" s="90" t="s">
        <v>1875</v>
      </c>
      <c r="AO762" s="90" t="s">
        <v>3644</v>
      </c>
      <c r="AP762" s="82"/>
      <c r="AQ762" s="87" t="s">
        <v>59</v>
      </c>
      <c r="AR762" s="87" t="s">
        <v>80</v>
      </c>
      <c r="AS762" s="82"/>
      <c r="AT762" s="87">
        <v>12</v>
      </c>
      <c r="AU762" s="87">
        <v>3</v>
      </c>
      <c r="AV762" s="87">
        <f t="shared" si="136"/>
        <v>15</v>
      </c>
      <c r="AW762" s="87" t="str">
        <f t="shared" si="54"/>
        <v>Ninguna</v>
      </c>
      <c r="AX762" s="87" t="s">
        <v>75</v>
      </c>
      <c r="AY762" s="87"/>
      <c r="AZ762" s="87"/>
      <c r="BA762" s="91" t="s">
        <v>3645</v>
      </c>
      <c r="BB762" s="84"/>
      <c r="BC762" s="85"/>
      <c r="BD762" s="85"/>
    </row>
    <row r="763" spans="1:56" s="86" customFormat="1" ht="56.25" customHeight="1">
      <c r="A763" s="87">
        <v>758</v>
      </c>
      <c r="B763" s="79" t="s">
        <v>3646</v>
      </c>
      <c r="C763" s="88">
        <v>45493</v>
      </c>
      <c r="D763" s="89">
        <v>0.45833333333333331</v>
      </c>
      <c r="E763" s="87" t="s">
        <v>58</v>
      </c>
      <c r="F763" s="87" t="s">
        <v>2680</v>
      </c>
      <c r="G763" s="87" t="s">
        <v>62</v>
      </c>
      <c r="H763" s="90" t="s">
        <v>3647</v>
      </c>
      <c r="I763" s="90" t="s">
        <v>128</v>
      </c>
      <c r="J763" s="87" t="s">
        <v>173</v>
      </c>
      <c r="K763" s="87"/>
      <c r="L763" s="90" t="s">
        <v>3648</v>
      </c>
      <c r="M763" s="91" t="s">
        <v>3649</v>
      </c>
      <c r="N763" s="90" t="s">
        <v>3650</v>
      </c>
      <c r="O763" s="90" t="str">
        <f t="shared" si="133"/>
        <v>Bosa</v>
      </c>
      <c r="P763" s="87" t="s">
        <v>472</v>
      </c>
      <c r="Q763" s="87"/>
      <c r="R763" s="87"/>
      <c r="S763" s="87"/>
      <c r="T763" s="87"/>
      <c r="U763" s="87"/>
      <c r="V763" s="90" t="str">
        <f t="shared" si="137"/>
        <v>Suroccidente</v>
      </c>
      <c r="W763" s="87" t="s">
        <v>474</v>
      </c>
      <c r="X763" s="87"/>
      <c r="Y763" s="87"/>
      <c r="Z763" s="87"/>
      <c r="AA763" s="87"/>
      <c r="AB763" s="87"/>
      <c r="AC763" s="90" t="str">
        <f t="shared" si="138"/>
        <v>Porvenir</v>
      </c>
      <c r="AD763" s="87" t="s">
        <v>705</v>
      </c>
      <c r="AE763" s="87"/>
      <c r="AF763" s="87"/>
      <c r="AG763" s="87"/>
      <c r="AH763" s="87"/>
      <c r="AI763" s="87"/>
      <c r="AJ763" s="87"/>
      <c r="AK763" s="87"/>
      <c r="AL763" s="87"/>
      <c r="AM763" s="87"/>
      <c r="AN763" s="90" t="s">
        <v>3651</v>
      </c>
      <c r="AO763" s="90" t="s">
        <v>3652</v>
      </c>
      <c r="AP763" s="82"/>
      <c r="AQ763" s="87" t="s">
        <v>59</v>
      </c>
      <c r="AR763" s="87" t="s">
        <v>80</v>
      </c>
      <c r="AS763" s="82"/>
      <c r="AT763" s="87">
        <v>37</v>
      </c>
      <c r="AU763" s="87">
        <v>2</v>
      </c>
      <c r="AV763" s="87">
        <f t="shared" si="136"/>
        <v>39</v>
      </c>
      <c r="AW763" s="87" t="str">
        <f t="shared" si="54"/>
        <v>Ninguna</v>
      </c>
      <c r="AX763" s="87" t="s">
        <v>75</v>
      </c>
      <c r="AY763" s="87"/>
      <c r="AZ763" s="87"/>
      <c r="BA763" s="91" t="s">
        <v>3646</v>
      </c>
      <c r="BB763" s="84"/>
      <c r="BC763" s="85"/>
      <c r="BD763" s="85"/>
    </row>
    <row r="764" spans="1:56" s="86" customFormat="1" ht="56.25" customHeight="1">
      <c r="A764" s="78">
        <v>759</v>
      </c>
      <c r="B764" s="79" t="s">
        <v>3653</v>
      </c>
      <c r="C764" s="88">
        <v>45494</v>
      </c>
      <c r="D764" s="89">
        <v>0.66666666666666663</v>
      </c>
      <c r="E764" s="87" t="s">
        <v>58</v>
      </c>
      <c r="F764" s="87" t="s">
        <v>2680</v>
      </c>
      <c r="G764" s="87" t="s">
        <v>62</v>
      </c>
      <c r="H764" s="90" t="s">
        <v>3654</v>
      </c>
      <c r="I764" s="90" t="s">
        <v>128</v>
      </c>
      <c r="J764" s="87" t="s">
        <v>119</v>
      </c>
      <c r="K764" s="87" t="s">
        <v>1322</v>
      </c>
      <c r="L764" s="90" t="s">
        <v>3655</v>
      </c>
      <c r="M764" s="91" t="s">
        <v>3656</v>
      </c>
      <c r="N764" s="90" t="s">
        <v>3657</v>
      </c>
      <c r="O764" s="90" t="str">
        <f t="shared" si="133"/>
        <v>Barrios Unidos</v>
      </c>
      <c r="P764" s="87" t="s">
        <v>686</v>
      </c>
      <c r="Q764" s="87"/>
      <c r="R764" s="87"/>
      <c r="S764" s="87"/>
      <c r="T764" s="87"/>
      <c r="U764" s="87"/>
      <c r="V764" s="90" t="str">
        <f t="shared" si="137"/>
        <v>Centro Ampliado</v>
      </c>
      <c r="W764" s="87" t="s">
        <v>415</v>
      </c>
      <c r="X764" s="87"/>
      <c r="Y764" s="87"/>
      <c r="Z764" s="87"/>
      <c r="AA764" s="87"/>
      <c r="AB764" s="87"/>
      <c r="AC764" s="90" t="str">
        <f t="shared" si="138"/>
        <v>Barrios Unidos</v>
      </c>
      <c r="AD764" s="87" t="s">
        <v>686</v>
      </c>
      <c r="AE764" s="87"/>
      <c r="AF764" s="87"/>
      <c r="AG764" s="87"/>
      <c r="AH764" s="87"/>
      <c r="AI764" s="87"/>
      <c r="AJ764" s="87"/>
      <c r="AK764" s="87"/>
      <c r="AL764" s="87"/>
      <c r="AM764" s="87"/>
      <c r="AN764" s="90" t="s">
        <v>3447</v>
      </c>
      <c r="AO764" s="90" t="s">
        <v>3658</v>
      </c>
      <c r="AP764" s="82"/>
      <c r="AQ764" s="87" t="s">
        <v>59</v>
      </c>
      <c r="AR764" s="87" t="s">
        <v>80</v>
      </c>
      <c r="AS764" s="82"/>
      <c r="AT764" s="87">
        <v>4</v>
      </c>
      <c r="AU764" s="87">
        <v>1</v>
      </c>
      <c r="AV764" s="87">
        <f t="shared" si="136"/>
        <v>5</v>
      </c>
      <c r="AW764" s="87" t="str">
        <f t="shared" si="54"/>
        <v>Ninguna</v>
      </c>
      <c r="AX764" s="87" t="s">
        <v>75</v>
      </c>
      <c r="AY764" s="87"/>
      <c r="AZ764" s="87"/>
      <c r="BA764" s="91" t="s">
        <v>3659</v>
      </c>
      <c r="BB764" s="84"/>
      <c r="BC764" s="85"/>
      <c r="BD764" s="85"/>
    </row>
    <row r="765" spans="1:56" s="86" customFormat="1" ht="56.25" customHeight="1">
      <c r="A765" s="87">
        <v>760</v>
      </c>
      <c r="B765" s="79" t="s">
        <v>3660</v>
      </c>
      <c r="C765" s="88">
        <v>45495</v>
      </c>
      <c r="D765" s="89">
        <v>0.33333333333333331</v>
      </c>
      <c r="E765" s="87" t="s">
        <v>58</v>
      </c>
      <c r="F765" s="87" t="s">
        <v>1750</v>
      </c>
      <c r="G765" s="87" t="s">
        <v>62</v>
      </c>
      <c r="H765" s="90" t="s">
        <v>2909</v>
      </c>
      <c r="I765" s="90" t="s">
        <v>118</v>
      </c>
      <c r="J765" s="87" t="s">
        <v>70</v>
      </c>
      <c r="K765" s="87" t="s">
        <v>71</v>
      </c>
      <c r="L765" s="90" t="s">
        <v>3661</v>
      </c>
      <c r="M765" s="91" t="s">
        <v>3662</v>
      </c>
      <c r="N765" s="90" t="s">
        <v>3663</v>
      </c>
      <c r="O765" s="90" t="str">
        <f>_xlfn.TEXTJOIN(", ",TRUE,$P765:$T765)</f>
        <v>Distrital</v>
      </c>
      <c r="P765" s="87" t="s">
        <v>73</v>
      </c>
      <c r="Q765" s="87"/>
      <c r="R765" s="87"/>
      <c r="S765" s="87"/>
      <c r="T765" s="87"/>
      <c r="U765" s="87"/>
      <c r="V765" s="90" t="str">
        <f>_xlfn.TEXTJOIN(", ",TRUE,$W765:$AB765)</f>
        <v>Distrital</v>
      </c>
      <c r="W765" s="87" t="s">
        <v>73</v>
      </c>
      <c r="X765" s="87"/>
      <c r="Y765" s="87"/>
      <c r="Z765" s="87"/>
      <c r="AA765" s="87"/>
      <c r="AB765" s="87"/>
      <c r="AC765" s="90" t="str">
        <f>_xlfn.TEXTJOIN(", ",TRUE,$AD765:$AM765)</f>
        <v>Distrital</v>
      </c>
      <c r="AD765" s="87" t="s">
        <v>73</v>
      </c>
      <c r="AE765" s="87"/>
      <c r="AF765" s="87"/>
      <c r="AG765" s="87"/>
      <c r="AH765" s="87"/>
      <c r="AI765" s="87"/>
      <c r="AJ765" s="87"/>
      <c r="AK765" s="87"/>
      <c r="AL765" s="87"/>
      <c r="AM765" s="87"/>
      <c r="AN765" s="90" t="s">
        <v>3664</v>
      </c>
      <c r="AO765" s="90" t="s">
        <v>3665</v>
      </c>
      <c r="AP765" s="82"/>
      <c r="AQ765" s="87" t="s">
        <v>59</v>
      </c>
      <c r="AR765" s="87" t="s">
        <v>80</v>
      </c>
      <c r="AS765" s="82"/>
      <c r="AT765" s="87">
        <v>12</v>
      </c>
      <c r="AU765" s="87">
        <v>5</v>
      </c>
      <c r="AV765" s="87">
        <f t="shared" si="136"/>
        <v>17</v>
      </c>
      <c r="AW765" s="87" t="str">
        <f t="shared" si="54"/>
        <v>Ninguna</v>
      </c>
      <c r="AX765" s="87" t="s">
        <v>75</v>
      </c>
      <c r="AY765" s="87"/>
      <c r="AZ765" s="87"/>
      <c r="BA765" s="91" t="s">
        <v>3666</v>
      </c>
      <c r="BB765" s="84"/>
      <c r="BC765" s="85"/>
      <c r="BD765" s="85"/>
    </row>
    <row r="766" spans="1:56" s="86" customFormat="1" ht="56.25" customHeight="1">
      <c r="A766" s="78">
        <v>761</v>
      </c>
      <c r="B766" s="79" t="s">
        <v>2837</v>
      </c>
      <c r="C766" s="88">
        <v>45495</v>
      </c>
      <c r="D766" s="89">
        <v>0.5</v>
      </c>
      <c r="E766" s="87" t="s">
        <v>58</v>
      </c>
      <c r="F766" s="87" t="s">
        <v>149</v>
      </c>
      <c r="G766" s="87" t="s">
        <v>95</v>
      </c>
      <c r="H766" s="90" t="s">
        <v>3667</v>
      </c>
      <c r="I766" s="90" t="s">
        <v>64</v>
      </c>
      <c r="J766" s="87" t="s">
        <v>173</v>
      </c>
      <c r="K766" s="87"/>
      <c r="L766" s="90" t="s">
        <v>3257</v>
      </c>
      <c r="M766" s="91" t="s">
        <v>3258</v>
      </c>
      <c r="N766" s="90" t="s">
        <v>3668</v>
      </c>
      <c r="O766" s="90" t="str">
        <f t="shared" si="133"/>
        <v>Tunjuelito</v>
      </c>
      <c r="P766" s="87" t="s">
        <v>618</v>
      </c>
      <c r="Q766" s="87"/>
      <c r="R766" s="87"/>
      <c r="S766" s="87"/>
      <c r="T766" s="87"/>
      <c r="U766" s="87"/>
      <c r="V766" s="90" t="str">
        <f t="shared" si="137"/>
        <v>Suroriente</v>
      </c>
      <c r="W766" s="87" t="s">
        <v>108</v>
      </c>
      <c r="X766" s="87"/>
      <c r="Y766" s="87"/>
      <c r="Z766" s="87"/>
      <c r="AA766" s="87"/>
      <c r="AB766" s="87"/>
      <c r="AC766" s="90" t="str">
        <f t="shared" si="138"/>
        <v>Tunjuelito</v>
      </c>
      <c r="AD766" s="87" t="s">
        <v>618</v>
      </c>
      <c r="AE766" s="87"/>
      <c r="AF766" s="87"/>
      <c r="AG766" s="87"/>
      <c r="AH766" s="87"/>
      <c r="AI766" s="87"/>
      <c r="AJ766" s="87"/>
      <c r="AK766" s="87"/>
      <c r="AL766" s="87"/>
      <c r="AM766" s="87"/>
      <c r="AN766" s="90" t="s">
        <v>3259</v>
      </c>
      <c r="AO766" s="102" t="s">
        <v>2638</v>
      </c>
      <c r="AP766" s="82"/>
      <c r="AQ766" s="87" t="s">
        <v>59</v>
      </c>
      <c r="AR766" s="87" t="s">
        <v>80</v>
      </c>
      <c r="AS766" s="82"/>
      <c r="AT766" s="87">
        <v>11</v>
      </c>
      <c r="AU766" s="87">
        <v>1</v>
      </c>
      <c r="AV766" s="87">
        <f t="shared" si="136"/>
        <v>12</v>
      </c>
      <c r="AW766" s="87" t="str">
        <f t="shared" si="54"/>
        <v>Horarios Acordes</v>
      </c>
      <c r="AX766" s="87" t="s">
        <v>213</v>
      </c>
      <c r="AY766" s="87"/>
      <c r="AZ766" s="87"/>
      <c r="BA766" s="91" t="s">
        <v>3669</v>
      </c>
      <c r="BB766" s="84"/>
      <c r="BC766" s="85"/>
      <c r="BD766" s="85"/>
    </row>
    <row r="767" spans="1:56" s="86" customFormat="1" ht="56.25" customHeight="1">
      <c r="A767" s="87">
        <v>762</v>
      </c>
      <c r="B767" s="79" t="s">
        <v>3670</v>
      </c>
      <c r="C767" s="88">
        <v>45495</v>
      </c>
      <c r="D767" s="89">
        <v>0.52083333333333337</v>
      </c>
      <c r="E767" s="87" t="s">
        <v>58</v>
      </c>
      <c r="F767" s="87" t="s">
        <v>2680</v>
      </c>
      <c r="G767" s="87" t="s">
        <v>62</v>
      </c>
      <c r="H767" s="90" t="s">
        <v>3671</v>
      </c>
      <c r="I767" s="90" t="s">
        <v>128</v>
      </c>
      <c r="J767" s="87" t="s">
        <v>173</v>
      </c>
      <c r="K767" s="87"/>
      <c r="L767" s="90" t="s">
        <v>3672</v>
      </c>
      <c r="M767" s="91" t="s">
        <v>3673</v>
      </c>
      <c r="N767" s="90" t="s">
        <v>3674</v>
      </c>
      <c r="O767" s="90" t="str">
        <f t="shared" si="133"/>
        <v>Barrios Unidos</v>
      </c>
      <c r="P767" s="87" t="s">
        <v>686</v>
      </c>
      <c r="Q767" s="87"/>
      <c r="R767" s="87"/>
      <c r="S767" s="87"/>
      <c r="T767" s="87"/>
      <c r="U767" s="87"/>
      <c r="V767" s="90" t="str">
        <f t="shared" si="137"/>
        <v>Centro Ampliado</v>
      </c>
      <c r="W767" s="87" t="s">
        <v>415</v>
      </c>
      <c r="X767" s="87"/>
      <c r="Y767" s="87"/>
      <c r="Z767" s="87"/>
      <c r="AA767" s="87"/>
      <c r="AB767" s="87"/>
      <c r="AC767" s="90" t="str">
        <f t="shared" si="138"/>
        <v>Barrios Unidos</v>
      </c>
      <c r="AD767" s="87" t="s">
        <v>686</v>
      </c>
      <c r="AE767" s="87"/>
      <c r="AF767" s="87"/>
      <c r="AG767" s="87"/>
      <c r="AH767" s="87"/>
      <c r="AI767" s="87"/>
      <c r="AJ767" s="87"/>
      <c r="AK767" s="87"/>
      <c r="AL767" s="87"/>
      <c r="AM767" s="87"/>
      <c r="AN767" s="90" t="s">
        <v>3447</v>
      </c>
      <c r="AO767" s="90" t="s">
        <v>3675</v>
      </c>
      <c r="AP767" s="82"/>
      <c r="AQ767" s="87" t="s">
        <v>59</v>
      </c>
      <c r="AR767" s="87" t="s">
        <v>80</v>
      </c>
      <c r="AS767" s="82"/>
      <c r="AT767" s="87">
        <v>2</v>
      </c>
      <c r="AU767" s="87">
        <v>1</v>
      </c>
      <c r="AV767" s="87">
        <f t="shared" si="136"/>
        <v>3</v>
      </c>
      <c r="AW767" s="87" t="str">
        <f t="shared" si="54"/>
        <v>Ninguna</v>
      </c>
      <c r="AX767" s="87" t="s">
        <v>75</v>
      </c>
      <c r="AY767" s="87"/>
      <c r="AZ767" s="87"/>
      <c r="BA767" s="91" t="s">
        <v>3676</v>
      </c>
      <c r="BB767" s="84"/>
      <c r="BC767" s="85"/>
      <c r="BD767" s="85"/>
    </row>
    <row r="768" spans="1:56" s="86" customFormat="1" ht="56.25" customHeight="1">
      <c r="A768" s="78">
        <v>763</v>
      </c>
      <c r="B768" s="79" t="s">
        <v>517</v>
      </c>
      <c r="C768" s="88">
        <v>45495</v>
      </c>
      <c r="D768" s="89">
        <v>0.58333333333333337</v>
      </c>
      <c r="E768" s="87" t="s">
        <v>93</v>
      </c>
      <c r="F768" s="87" t="s">
        <v>321</v>
      </c>
      <c r="G768" s="87" t="s">
        <v>95</v>
      </c>
      <c r="H768" s="90" t="s">
        <v>3677</v>
      </c>
      <c r="I768" s="90" t="s">
        <v>118</v>
      </c>
      <c r="J768" s="87" t="s">
        <v>70</v>
      </c>
      <c r="K768" s="87" t="s">
        <v>1810</v>
      </c>
      <c r="L768" s="90" t="s">
        <v>3678</v>
      </c>
      <c r="M768" s="91" t="s">
        <v>3679</v>
      </c>
      <c r="N768" s="90" t="s">
        <v>3680</v>
      </c>
      <c r="O768" s="90" t="str">
        <f t="shared" si="133"/>
        <v>San Cristóbal</v>
      </c>
      <c r="P768" s="87" t="s">
        <v>370</v>
      </c>
      <c r="Q768" s="87"/>
      <c r="R768" s="87"/>
      <c r="S768" s="87"/>
      <c r="T768" s="87"/>
      <c r="U768" s="87"/>
      <c r="V768" s="90" t="str">
        <f t="shared" si="137"/>
        <v>Suroriente</v>
      </c>
      <c r="W768" s="87" t="s">
        <v>108</v>
      </c>
      <c r="X768" s="87"/>
      <c r="Y768" s="87"/>
      <c r="Z768" s="87"/>
      <c r="AA768" s="87"/>
      <c r="AB768" s="87"/>
      <c r="AC768" s="90" t="str">
        <f t="shared" si="138"/>
        <v>San Cristobal</v>
      </c>
      <c r="AD768" s="87" t="s">
        <v>371</v>
      </c>
      <c r="AE768" s="87"/>
      <c r="AF768" s="87"/>
      <c r="AG768" s="87"/>
      <c r="AH768" s="87"/>
      <c r="AI768" s="87"/>
      <c r="AJ768" s="87"/>
      <c r="AK768" s="87"/>
      <c r="AL768" s="87"/>
      <c r="AM768" s="87"/>
      <c r="AN768" s="90" t="s">
        <v>3681</v>
      </c>
      <c r="AO768" s="102" t="s">
        <v>3682</v>
      </c>
      <c r="AP768" s="82"/>
      <c r="AQ768" s="87" t="s">
        <v>59</v>
      </c>
      <c r="AR768" s="87" t="s">
        <v>80</v>
      </c>
      <c r="AS768" s="82"/>
      <c r="AT768" s="87">
        <v>10</v>
      </c>
      <c r="AU768" s="87">
        <v>1</v>
      </c>
      <c r="AV768" s="87">
        <f t="shared" si="136"/>
        <v>11</v>
      </c>
      <c r="AW768" s="87" t="str">
        <f t="shared" si="54"/>
        <v>Ninguna</v>
      </c>
      <c r="AX768" s="87" t="s">
        <v>75</v>
      </c>
      <c r="AY768" s="87"/>
      <c r="AZ768" s="87"/>
      <c r="BA768" s="91" t="s">
        <v>3683</v>
      </c>
      <c r="BB768" s="84"/>
      <c r="BC768" s="85"/>
      <c r="BD768" s="85"/>
    </row>
    <row r="769" spans="1:56" s="86" customFormat="1" ht="56.25" customHeight="1">
      <c r="A769" s="87">
        <v>764</v>
      </c>
      <c r="B769" s="79" t="s">
        <v>3684</v>
      </c>
      <c r="C769" s="88">
        <v>45495</v>
      </c>
      <c r="D769" s="89">
        <v>0.58333333333333337</v>
      </c>
      <c r="E769" s="87" t="s">
        <v>58</v>
      </c>
      <c r="F769" s="87" t="s">
        <v>2680</v>
      </c>
      <c r="G769" s="87" t="s">
        <v>95</v>
      </c>
      <c r="H769" s="90" t="s">
        <v>3685</v>
      </c>
      <c r="I769" s="90" t="s">
        <v>128</v>
      </c>
      <c r="J769" s="87" t="s">
        <v>816</v>
      </c>
      <c r="K769" s="87"/>
      <c r="L769" s="90" t="s">
        <v>2723</v>
      </c>
      <c r="M769" s="91" t="s">
        <v>2790</v>
      </c>
      <c r="N769" s="90" t="s">
        <v>3686</v>
      </c>
      <c r="O769" s="90" t="str">
        <f t="shared" si="133"/>
        <v>San Cristóbal</v>
      </c>
      <c r="P769" s="87" t="s">
        <v>370</v>
      </c>
      <c r="Q769" s="87"/>
      <c r="R769" s="87"/>
      <c r="S769" s="87"/>
      <c r="T769" s="87"/>
      <c r="U769" s="87"/>
      <c r="V769" s="90" t="str">
        <f t="shared" si="137"/>
        <v>Ruralidad</v>
      </c>
      <c r="W769" s="87" t="s">
        <v>109</v>
      </c>
      <c r="X769" s="87"/>
      <c r="Y769" s="87"/>
      <c r="Z769" s="87"/>
      <c r="AA769" s="87"/>
      <c r="AB769" s="87"/>
      <c r="AC769" s="90" t="str">
        <f t="shared" si="138"/>
        <v>Cerros Orientales</v>
      </c>
      <c r="AD769" s="87" t="s">
        <v>222</v>
      </c>
      <c r="AE769" s="87"/>
      <c r="AF769" s="87"/>
      <c r="AG769" s="87"/>
      <c r="AH769" s="87"/>
      <c r="AI769" s="87"/>
      <c r="AJ769" s="87"/>
      <c r="AK769" s="87"/>
      <c r="AL769" s="87"/>
      <c r="AM769" s="87"/>
      <c r="AN769" s="90" t="s">
        <v>3687</v>
      </c>
      <c r="AO769" s="102" t="s">
        <v>2638</v>
      </c>
      <c r="AP769" s="82"/>
      <c r="AQ769" s="87" t="s">
        <v>59</v>
      </c>
      <c r="AR769" s="87" t="s">
        <v>80</v>
      </c>
      <c r="AS769" s="82"/>
      <c r="AT769" s="87">
        <v>1</v>
      </c>
      <c r="AU769" s="87">
        <v>2</v>
      </c>
      <c r="AV769" s="87">
        <f t="shared" si="136"/>
        <v>3</v>
      </c>
      <c r="AW769" s="87" t="str">
        <f t="shared" si="54"/>
        <v>Ninguna</v>
      </c>
      <c r="AX769" s="87" t="s">
        <v>75</v>
      </c>
      <c r="AY769" s="87"/>
      <c r="AZ769" s="87"/>
      <c r="BA769" s="91" t="s">
        <v>3688</v>
      </c>
      <c r="BB769" s="84"/>
      <c r="BC769" s="85"/>
      <c r="BD769" s="85"/>
    </row>
    <row r="770" spans="1:56" s="86" customFormat="1" ht="46.5" customHeight="1">
      <c r="A770" s="78">
        <v>765</v>
      </c>
      <c r="B770" s="79" t="s">
        <v>3689</v>
      </c>
      <c r="C770" s="88">
        <v>45495</v>
      </c>
      <c r="D770" s="89">
        <v>0.58333333333333337</v>
      </c>
      <c r="E770" s="87" t="s">
        <v>58</v>
      </c>
      <c r="F770" s="87" t="s">
        <v>1142</v>
      </c>
      <c r="G770" s="87" t="s">
        <v>62</v>
      </c>
      <c r="H770" s="90" t="s">
        <v>3690</v>
      </c>
      <c r="I770" s="90" t="s">
        <v>188</v>
      </c>
      <c r="J770" s="87" t="s">
        <v>119</v>
      </c>
      <c r="K770" s="87" t="s">
        <v>209</v>
      </c>
      <c r="L770" s="90" t="s">
        <v>794</v>
      </c>
      <c r="M770" s="91" t="s">
        <v>3419</v>
      </c>
      <c r="N770" s="90" t="s">
        <v>3420</v>
      </c>
      <c r="O770" s="90" t="str">
        <f>_xlfn.TEXTJOIN(", ",TRUE,$P770:$T770)</f>
        <v>Distrital</v>
      </c>
      <c r="P770" s="87" t="s">
        <v>73</v>
      </c>
      <c r="Q770" s="87"/>
      <c r="R770" s="87"/>
      <c r="S770" s="87"/>
      <c r="T770" s="87"/>
      <c r="U770" s="87"/>
      <c r="V770" s="90" t="str">
        <f>_xlfn.TEXTJOIN(", ",TRUE,$W770:$AB770)</f>
        <v>Distrital</v>
      </c>
      <c r="W770" s="87" t="s">
        <v>73</v>
      </c>
      <c r="X770" s="87"/>
      <c r="Y770" s="87"/>
      <c r="Z770" s="87"/>
      <c r="AA770" s="87"/>
      <c r="AB770" s="87"/>
      <c r="AC770" s="90" t="str">
        <f>_xlfn.TEXTJOIN(", ",TRUE,$AD770:$AM770)</f>
        <v>Distrital</v>
      </c>
      <c r="AD770" s="87" t="s">
        <v>73</v>
      </c>
      <c r="AE770" s="87"/>
      <c r="AF770" s="87"/>
      <c r="AG770" s="87"/>
      <c r="AH770" s="87"/>
      <c r="AI770" s="87"/>
      <c r="AJ770" s="87"/>
      <c r="AK770" s="87"/>
      <c r="AL770" s="87"/>
      <c r="AM770" s="87"/>
      <c r="AN770" s="90" t="s">
        <v>3421</v>
      </c>
      <c r="AO770" s="90" t="s">
        <v>3690</v>
      </c>
      <c r="AP770" s="82"/>
      <c r="AQ770" s="87" t="s">
        <v>59</v>
      </c>
      <c r="AR770" s="87" t="s">
        <v>80</v>
      </c>
      <c r="AS770" s="82"/>
      <c r="AT770" s="87">
        <v>21</v>
      </c>
      <c r="AU770" s="87">
        <v>11</v>
      </c>
      <c r="AV770" s="87">
        <f>AT770+AU770</f>
        <v>32</v>
      </c>
      <c r="AW770" s="87" t="str">
        <f>_xlfn.TEXTJOIN(", ",TRUE,$AX770:$AZ770)</f>
        <v>Ninguna</v>
      </c>
      <c r="AX770" s="87" t="s">
        <v>75</v>
      </c>
      <c r="AY770" s="87"/>
      <c r="AZ770" s="87"/>
      <c r="BA770" s="91" t="s">
        <v>3691</v>
      </c>
      <c r="BB770" s="84"/>
      <c r="BC770" s="85"/>
      <c r="BD770" s="85"/>
    </row>
    <row r="771" spans="1:56" s="86" customFormat="1" ht="46.5" customHeight="1">
      <c r="A771" s="87">
        <v>766</v>
      </c>
      <c r="B771" s="79" t="s">
        <v>3692</v>
      </c>
      <c r="C771" s="88">
        <v>45495</v>
      </c>
      <c r="D771" s="89">
        <v>0.59375</v>
      </c>
      <c r="E771" s="87" t="s">
        <v>58</v>
      </c>
      <c r="F771" s="87" t="s">
        <v>135</v>
      </c>
      <c r="G771" s="87" t="s">
        <v>62</v>
      </c>
      <c r="H771" s="90" t="s">
        <v>3693</v>
      </c>
      <c r="I771" s="90" t="s">
        <v>118</v>
      </c>
      <c r="J771" s="87" t="s">
        <v>70</v>
      </c>
      <c r="K771" s="87" t="s">
        <v>71</v>
      </c>
      <c r="L771" s="90" t="s">
        <v>3694</v>
      </c>
      <c r="M771" s="91" t="s">
        <v>3695</v>
      </c>
      <c r="N771" s="90" t="s">
        <v>3695</v>
      </c>
      <c r="O771" s="90" t="str">
        <f t="shared" si="79"/>
        <v>Distrital</v>
      </c>
      <c r="P771" s="87" t="s">
        <v>73</v>
      </c>
      <c r="Q771" s="87"/>
      <c r="R771" s="87"/>
      <c r="S771" s="87"/>
      <c r="T771" s="87"/>
      <c r="U771" s="87"/>
      <c r="V771" s="90" t="str">
        <f t="shared" si="82"/>
        <v>Distrital</v>
      </c>
      <c r="W771" s="87" t="s">
        <v>73</v>
      </c>
      <c r="X771" s="87"/>
      <c r="Y771" s="87"/>
      <c r="Z771" s="87"/>
      <c r="AA771" s="87"/>
      <c r="AB771" s="87"/>
      <c r="AC771" s="90" t="str">
        <f t="shared" si="83"/>
        <v>Distrital</v>
      </c>
      <c r="AD771" s="87" t="s">
        <v>73</v>
      </c>
      <c r="AE771" s="87"/>
      <c r="AF771" s="87"/>
      <c r="AG771" s="87"/>
      <c r="AH771" s="87"/>
      <c r="AI771" s="87"/>
      <c r="AJ771" s="87"/>
      <c r="AK771" s="87"/>
      <c r="AL771" s="87"/>
      <c r="AM771" s="87"/>
      <c r="AN771" s="90" t="s">
        <v>160</v>
      </c>
      <c r="AO771" s="90" t="s">
        <v>3696</v>
      </c>
      <c r="AP771" s="82"/>
      <c r="AQ771" s="87" t="s">
        <v>59</v>
      </c>
      <c r="AR771" s="87" t="s">
        <v>80</v>
      </c>
      <c r="AS771" s="82"/>
      <c r="AT771" s="87">
        <v>0</v>
      </c>
      <c r="AU771" s="87">
        <v>9</v>
      </c>
      <c r="AV771" s="87">
        <f t="shared" ref="AV771:AV789" si="140">AT771+AU771</f>
        <v>9</v>
      </c>
      <c r="AW771" s="87" t="str">
        <f t="shared" si="54"/>
        <v>Ninguna</v>
      </c>
      <c r="AX771" s="87" t="s">
        <v>75</v>
      </c>
      <c r="AY771" s="87"/>
      <c r="AZ771" s="87"/>
      <c r="BA771" s="91" t="s">
        <v>3697</v>
      </c>
      <c r="BB771" s="84"/>
      <c r="BC771" s="85"/>
      <c r="BD771" s="85"/>
    </row>
    <row r="772" spans="1:56" s="86" customFormat="1" ht="46.5" customHeight="1">
      <c r="A772" s="78">
        <v>767</v>
      </c>
      <c r="B772" s="79" t="s">
        <v>2145</v>
      </c>
      <c r="C772" s="88">
        <v>45495</v>
      </c>
      <c r="D772" s="89">
        <v>0.70833333333333337</v>
      </c>
      <c r="E772" s="87" t="s">
        <v>93</v>
      </c>
      <c r="F772" s="87" t="s">
        <v>102</v>
      </c>
      <c r="G772" s="87" t="s">
        <v>95</v>
      </c>
      <c r="H772" s="90" t="s">
        <v>3698</v>
      </c>
      <c r="I772" s="90" t="s">
        <v>118</v>
      </c>
      <c r="J772" s="87" t="s">
        <v>119</v>
      </c>
      <c r="K772" s="87" t="s">
        <v>129</v>
      </c>
      <c r="L772" s="90" t="s">
        <v>1286</v>
      </c>
      <c r="M772" s="91" t="s">
        <v>3012</v>
      </c>
      <c r="N772" s="90" t="s">
        <v>3699</v>
      </c>
      <c r="O772" s="90" t="str">
        <f t="shared" si="133"/>
        <v>Distrital</v>
      </c>
      <c r="P772" s="87" t="s">
        <v>73</v>
      </c>
      <c r="Q772" s="87"/>
      <c r="R772" s="87"/>
      <c r="S772" s="87"/>
      <c r="T772" s="87"/>
      <c r="U772" s="87"/>
      <c r="V772" s="90" t="str">
        <f t="shared" si="137"/>
        <v>Distrital</v>
      </c>
      <c r="W772" s="87" t="s">
        <v>73</v>
      </c>
      <c r="X772" s="87"/>
      <c r="Y772" s="87"/>
      <c r="Z772" s="87"/>
      <c r="AA772" s="87"/>
      <c r="AB772" s="87"/>
      <c r="AC772" s="90" t="str">
        <f t="shared" si="138"/>
        <v>Distrital</v>
      </c>
      <c r="AD772" s="87" t="s">
        <v>73</v>
      </c>
      <c r="AE772" s="87"/>
      <c r="AF772" s="87"/>
      <c r="AG772" s="87"/>
      <c r="AH772" s="87"/>
      <c r="AI772" s="87"/>
      <c r="AJ772" s="87"/>
      <c r="AK772" s="87"/>
      <c r="AL772" s="87"/>
      <c r="AM772" s="87"/>
      <c r="AN772" s="90" t="s">
        <v>160</v>
      </c>
      <c r="AO772" s="102" t="s">
        <v>2638</v>
      </c>
      <c r="AP772" s="82"/>
      <c r="AQ772" s="87" t="s">
        <v>59</v>
      </c>
      <c r="AR772" s="87" t="s">
        <v>80</v>
      </c>
      <c r="AS772" s="82"/>
      <c r="AT772" s="87">
        <v>76</v>
      </c>
      <c r="AU772" s="87">
        <v>2</v>
      </c>
      <c r="AV772" s="87">
        <f t="shared" si="140"/>
        <v>78</v>
      </c>
      <c r="AW772" s="87" t="str">
        <f t="shared" si="54"/>
        <v>Ninguna</v>
      </c>
      <c r="AX772" s="87" t="s">
        <v>75</v>
      </c>
      <c r="AY772" s="87"/>
      <c r="AZ772" s="87"/>
      <c r="BA772" s="91" t="s">
        <v>3700</v>
      </c>
      <c r="BB772" s="84"/>
      <c r="BC772" s="85"/>
      <c r="BD772" s="85"/>
    </row>
    <row r="773" spans="1:56" s="86" customFormat="1" ht="46.5" customHeight="1">
      <c r="A773" s="87">
        <v>768</v>
      </c>
      <c r="B773" s="79" t="s">
        <v>3701</v>
      </c>
      <c r="C773" s="88">
        <v>45496</v>
      </c>
      <c r="D773" s="89">
        <v>0.375</v>
      </c>
      <c r="E773" s="87" t="s">
        <v>58</v>
      </c>
      <c r="F773" s="87" t="s">
        <v>2680</v>
      </c>
      <c r="G773" s="87" t="s">
        <v>95</v>
      </c>
      <c r="H773" s="90" t="s">
        <v>3702</v>
      </c>
      <c r="I773" s="90" t="s">
        <v>128</v>
      </c>
      <c r="J773" s="87" t="s">
        <v>119</v>
      </c>
      <c r="K773" s="87" t="s">
        <v>120</v>
      </c>
      <c r="L773" s="90" t="s">
        <v>72</v>
      </c>
      <c r="M773" s="90" t="s">
        <v>72</v>
      </c>
      <c r="N773" s="90" t="s">
        <v>72</v>
      </c>
      <c r="O773" s="90" t="str">
        <f t="shared" si="133"/>
        <v>Usaquén</v>
      </c>
      <c r="P773" s="87" t="s">
        <v>428</v>
      </c>
      <c r="Q773" s="87"/>
      <c r="R773" s="87"/>
      <c r="S773" s="87"/>
      <c r="T773" s="87"/>
      <c r="U773" s="87"/>
      <c r="V773" s="90" t="str">
        <f t="shared" si="137"/>
        <v>Ruralidad</v>
      </c>
      <c r="W773" s="87" t="s">
        <v>109</v>
      </c>
      <c r="X773" s="87"/>
      <c r="Y773" s="87"/>
      <c r="Z773" s="87"/>
      <c r="AA773" s="87"/>
      <c r="AB773" s="87"/>
      <c r="AC773" s="90" t="str">
        <f t="shared" si="138"/>
        <v>Cerros Orientales</v>
      </c>
      <c r="AD773" s="87" t="s">
        <v>222</v>
      </c>
      <c r="AE773" s="87"/>
      <c r="AF773" s="87"/>
      <c r="AG773" s="87"/>
      <c r="AH773" s="87"/>
      <c r="AI773" s="87"/>
      <c r="AJ773" s="87"/>
      <c r="AK773" s="87"/>
      <c r="AL773" s="87"/>
      <c r="AM773" s="87"/>
      <c r="AN773" s="90" t="s">
        <v>1236</v>
      </c>
      <c r="AO773" s="90" t="s">
        <v>3703</v>
      </c>
      <c r="AP773" s="82"/>
      <c r="AQ773" s="87" t="s">
        <v>59</v>
      </c>
      <c r="AR773" s="87" t="s">
        <v>80</v>
      </c>
      <c r="AS773" s="82"/>
      <c r="AT773" s="87">
        <v>3</v>
      </c>
      <c r="AU773" s="87">
        <v>1</v>
      </c>
      <c r="AV773" s="87">
        <f t="shared" si="140"/>
        <v>4</v>
      </c>
      <c r="AW773" s="87" t="str">
        <f t="shared" si="54"/>
        <v>Ninguna</v>
      </c>
      <c r="AX773" s="87" t="s">
        <v>75</v>
      </c>
      <c r="AY773" s="87"/>
      <c r="AZ773" s="87"/>
      <c r="BA773" s="91" t="s">
        <v>648</v>
      </c>
      <c r="BB773" s="84"/>
      <c r="BC773" s="85"/>
      <c r="BD773" s="85"/>
    </row>
    <row r="774" spans="1:56" s="86" customFormat="1" ht="58.5" customHeight="1">
      <c r="A774" s="78">
        <v>769</v>
      </c>
      <c r="B774" s="79" t="s">
        <v>3620</v>
      </c>
      <c r="C774" s="88">
        <v>45496</v>
      </c>
      <c r="D774" s="89">
        <v>0.70833333333333337</v>
      </c>
      <c r="E774" s="87" t="s">
        <v>93</v>
      </c>
      <c r="F774" s="87" t="s">
        <v>102</v>
      </c>
      <c r="G774" s="87" t="s">
        <v>95</v>
      </c>
      <c r="H774" s="90" t="s">
        <v>3621</v>
      </c>
      <c r="I774" s="90" t="s">
        <v>118</v>
      </c>
      <c r="J774" s="87" t="s">
        <v>119</v>
      </c>
      <c r="K774" s="87" t="s">
        <v>129</v>
      </c>
      <c r="L774" s="90" t="s">
        <v>3146</v>
      </c>
      <c r="M774" s="91" t="s">
        <v>3012</v>
      </c>
      <c r="N774" s="90" t="s">
        <v>439</v>
      </c>
      <c r="O774" s="90" t="str">
        <f>_xlfn.TEXTJOIN(", ",TRUE,$P774:$T774)</f>
        <v>Distrital</v>
      </c>
      <c r="P774" s="87" t="s">
        <v>73</v>
      </c>
      <c r="Q774" s="87"/>
      <c r="R774" s="87"/>
      <c r="S774" s="87"/>
      <c r="T774" s="87"/>
      <c r="U774" s="87"/>
      <c r="V774" s="90" t="str">
        <f>_xlfn.TEXTJOIN(", ",TRUE,$W774:$AB774)</f>
        <v>Distrital</v>
      </c>
      <c r="W774" s="87" t="s">
        <v>73</v>
      </c>
      <c r="X774" s="87"/>
      <c r="Y774" s="87"/>
      <c r="Z774" s="87"/>
      <c r="AA774" s="87"/>
      <c r="AB774" s="87"/>
      <c r="AC774" s="90" t="str">
        <f>_xlfn.TEXTJOIN(", ",TRUE,$AD774:$AM774)</f>
        <v>Distrital</v>
      </c>
      <c r="AD774" s="87" t="s">
        <v>73</v>
      </c>
      <c r="AE774" s="87"/>
      <c r="AF774" s="87"/>
      <c r="AG774" s="87"/>
      <c r="AH774" s="87"/>
      <c r="AI774" s="87"/>
      <c r="AJ774" s="87"/>
      <c r="AK774" s="87"/>
      <c r="AL774" s="87"/>
      <c r="AM774" s="87"/>
      <c r="AN774" s="90" t="s">
        <v>160</v>
      </c>
      <c r="AO774" s="102" t="s">
        <v>3704</v>
      </c>
      <c r="AP774" s="82"/>
      <c r="AQ774" s="87" t="s">
        <v>59</v>
      </c>
      <c r="AR774" s="87" t="s">
        <v>80</v>
      </c>
      <c r="AS774" s="82"/>
      <c r="AT774" s="87">
        <v>74</v>
      </c>
      <c r="AU774" s="87">
        <v>1</v>
      </c>
      <c r="AV774" s="87">
        <f>AT774+AU774</f>
        <v>75</v>
      </c>
      <c r="AW774" s="87" t="str">
        <f>_xlfn.TEXTJOIN(", ",TRUE,$AX774:$AZ774)</f>
        <v>Ninguna</v>
      </c>
      <c r="AX774" s="87" t="s">
        <v>75</v>
      </c>
      <c r="AY774" s="87"/>
      <c r="AZ774" s="87"/>
      <c r="BA774" s="91" t="s">
        <v>3705</v>
      </c>
      <c r="BB774" s="84"/>
      <c r="BC774" s="85"/>
      <c r="BD774" s="85"/>
    </row>
    <row r="775" spans="1:56" s="86" customFormat="1" ht="58.5" customHeight="1">
      <c r="A775" s="87">
        <v>770</v>
      </c>
      <c r="B775" s="79" t="s">
        <v>3706</v>
      </c>
      <c r="C775" s="88">
        <v>45497</v>
      </c>
      <c r="D775" s="89">
        <v>0.3125</v>
      </c>
      <c r="E775" s="87" t="s">
        <v>58</v>
      </c>
      <c r="F775" s="87" t="s">
        <v>61</v>
      </c>
      <c r="G775" s="87" t="s">
        <v>62</v>
      </c>
      <c r="H775" s="90" t="s">
        <v>3243</v>
      </c>
      <c r="I775" s="90" t="s">
        <v>128</v>
      </c>
      <c r="J775" s="87" t="s">
        <v>173</v>
      </c>
      <c r="K775" s="87"/>
      <c r="L775" s="90" t="s">
        <v>2795</v>
      </c>
      <c r="M775" s="91" t="s">
        <v>3410</v>
      </c>
      <c r="N775" s="90" t="s">
        <v>3411</v>
      </c>
      <c r="O775" s="90" t="str">
        <f t="shared" ref="O775" si="141">_xlfn.TEXTJOIN(", ",TRUE,$P775:$T775)</f>
        <v>Distrital</v>
      </c>
      <c r="P775" s="87" t="s">
        <v>73</v>
      </c>
      <c r="Q775" s="87"/>
      <c r="R775" s="87"/>
      <c r="S775" s="87"/>
      <c r="T775" s="87"/>
      <c r="U775" s="87"/>
      <c r="V775" s="90" t="str">
        <f t="shared" ref="V775" si="142">_xlfn.TEXTJOIN(", ",TRUE,$W775:$AB775)</f>
        <v>Distrital</v>
      </c>
      <c r="W775" s="87" t="s">
        <v>73</v>
      </c>
      <c r="X775" s="87"/>
      <c r="Y775" s="87"/>
      <c r="Z775" s="87"/>
      <c r="AA775" s="87"/>
      <c r="AB775" s="87"/>
      <c r="AC775" s="90" t="str">
        <f t="shared" ref="AC775" si="143">_xlfn.TEXTJOIN(", ",TRUE,$AD775:$AM775)</f>
        <v>Distrital</v>
      </c>
      <c r="AD775" s="87" t="s">
        <v>73</v>
      </c>
      <c r="AE775" s="87"/>
      <c r="AF775" s="87"/>
      <c r="AG775" s="87"/>
      <c r="AH775" s="87"/>
      <c r="AI775" s="87"/>
      <c r="AJ775" s="87"/>
      <c r="AK775" s="87"/>
      <c r="AL775" s="87"/>
      <c r="AM775" s="87"/>
      <c r="AN775" s="90" t="s">
        <v>3707</v>
      </c>
      <c r="AO775" s="90" t="s">
        <v>3708</v>
      </c>
      <c r="AP775" s="82"/>
      <c r="AQ775" s="87" t="s">
        <v>60</v>
      </c>
      <c r="AR775" s="87" t="s">
        <v>2854</v>
      </c>
      <c r="AS775" s="82"/>
      <c r="AT775" s="87">
        <v>58</v>
      </c>
      <c r="AU775" s="87">
        <v>14</v>
      </c>
      <c r="AV775" s="87">
        <f t="shared" si="140"/>
        <v>72</v>
      </c>
      <c r="AW775" s="87" t="str">
        <f t="shared" si="54"/>
        <v>Contenidos adaptados</v>
      </c>
      <c r="AX775" s="87" t="s">
        <v>212</v>
      </c>
      <c r="AY775" s="87"/>
      <c r="AZ775" s="87"/>
      <c r="BA775" s="91" t="s">
        <v>3709</v>
      </c>
      <c r="BB775" s="84"/>
      <c r="BC775" s="85"/>
      <c r="BD775" s="85"/>
    </row>
    <row r="776" spans="1:56" s="86" customFormat="1" ht="58.5" customHeight="1">
      <c r="A776" s="78">
        <v>771</v>
      </c>
      <c r="B776" s="79" t="s">
        <v>3710</v>
      </c>
      <c r="C776" s="88">
        <v>45497</v>
      </c>
      <c r="D776" s="89">
        <v>0.45833333333333331</v>
      </c>
      <c r="E776" s="87" t="s">
        <v>58</v>
      </c>
      <c r="F776" s="87" t="s">
        <v>2207</v>
      </c>
      <c r="G776" s="87" t="s">
        <v>62</v>
      </c>
      <c r="H776" s="90" t="s">
        <v>3711</v>
      </c>
      <c r="I776" s="90" t="s">
        <v>118</v>
      </c>
      <c r="J776" s="87" t="s">
        <v>70</v>
      </c>
      <c r="K776" s="87"/>
      <c r="L776" s="90" t="s">
        <v>72</v>
      </c>
      <c r="M776" s="91" t="s">
        <v>72</v>
      </c>
      <c r="N776" s="90" t="s">
        <v>72</v>
      </c>
      <c r="O776" s="90" t="str">
        <f>_xlfn.TEXTJOIN(", ",TRUE,$P776:$T776)</f>
        <v>Distrital</v>
      </c>
      <c r="P776" s="87" t="s">
        <v>73</v>
      </c>
      <c r="Q776" s="87"/>
      <c r="R776" s="87"/>
      <c r="S776" s="87"/>
      <c r="T776" s="87"/>
      <c r="U776" s="87"/>
      <c r="V776" s="90" t="str">
        <f>_xlfn.TEXTJOIN(", ",TRUE,$W776:$AB776)</f>
        <v>Distrital</v>
      </c>
      <c r="W776" s="87" t="s">
        <v>73</v>
      </c>
      <c r="X776" s="87"/>
      <c r="Y776" s="87"/>
      <c r="Z776" s="87"/>
      <c r="AA776" s="87"/>
      <c r="AB776" s="87"/>
      <c r="AC776" s="90" t="str">
        <f>_xlfn.TEXTJOIN(", ",TRUE,$AD776:$AM776)</f>
        <v>Distrital</v>
      </c>
      <c r="AD776" s="87" t="s">
        <v>73</v>
      </c>
      <c r="AE776" s="87"/>
      <c r="AF776" s="87"/>
      <c r="AG776" s="87"/>
      <c r="AH776" s="87"/>
      <c r="AI776" s="87"/>
      <c r="AJ776" s="87"/>
      <c r="AK776" s="87"/>
      <c r="AL776" s="87"/>
      <c r="AM776" s="87"/>
      <c r="AN776" s="90" t="s">
        <v>80</v>
      </c>
      <c r="AO776" s="90" t="s">
        <v>3712</v>
      </c>
      <c r="AP776" s="82"/>
      <c r="AQ776" s="87" t="s">
        <v>59</v>
      </c>
      <c r="AR776" s="87" t="s">
        <v>80</v>
      </c>
      <c r="AS776" s="82"/>
      <c r="AT776" s="87">
        <v>0</v>
      </c>
      <c r="AU776" s="87">
        <v>9</v>
      </c>
      <c r="AV776" s="87">
        <f>AT776+AU776</f>
        <v>9</v>
      </c>
      <c r="AW776" s="87" t="str">
        <f>_xlfn.TEXTJOIN(", ",TRUE,$AX776:$AZ776)</f>
        <v>Ninguna</v>
      </c>
      <c r="AX776" s="87" t="s">
        <v>75</v>
      </c>
      <c r="AY776" s="87"/>
      <c r="AZ776" s="87"/>
      <c r="BA776" s="91" t="s">
        <v>3713</v>
      </c>
      <c r="BB776" s="84"/>
      <c r="BC776" s="85"/>
      <c r="BD776" s="85"/>
    </row>
    <row r="777" spans="1:56" s="86" customFormat="1" ht="46.5" customHeight="1">
      <c r="A777" s="87">
        <v>772</v>
      </c>
      <c r="B777" s="79" t="s">
        <v>3714</v>
      </c>
      <c r="C777" s="88">
        <v>45497</v>
      </c>
      <c r="D777" s="89">
        <v>0.58333333333333337</v>
      </c>
      <c r="E777" s="87" t="s">
        <v>58</v>
      </c>
      <c r="F777" s="87" t="s">
        <v>61</v>
      </c>
      <c r="G777" s="87" t="s">
        <v>62</v>
      </c>
      <c r="H777" s="90" t="s">
        <v>3243</v>
      </c>
      <c r="I777" s="90" t="s">
        <v>128</v>
      </c>
      <c r="J777" s="87" t="s">
        <v>173</v>
      </c>
      <c r="K777" s="87"/>
      <c r="L777" s="90" t="s">
        <v>2795</v>
      </c>
      <c r="M777" s="91" t="s">
        <v>3410</v>
      </c>
      <c r="N777" s="90" t="s">
        <v>3411</v>
      </c>
      <c r="O777" s="90" t="str">
        <f t="shared" ref="O777" si="144">_xlfn.TEXTJOIN(", ",TRUE,$P777:$T777)</f>
        <v>Distrital</v>
      </c>
      <c r="P777" s="87" t="s">
        <v>73</v>
      </c>
      <c r="Q777" s="87"/>
      <c r="R777" s="87"/>
      <c r="S777" s="87"/>
      <c r="T777" s="87"/>
      <c r="U777" s="87"/>
      <c r="V777" s="90" t="str">
        <f t="shared" ref="V777:V778" si="145">_xlfn.TEXTJOIN(", ",TRUE,$W777:$AB777)</f>
        <v>Distrital</v>
      </c>
      <c r="W777" s="87" t="s">
        <v>73</v>
      </c>
      <c r="X777" s="87"/>
      <c r="Y777" s="87"/>
      <c r="Z777" s="87"/>
      <c r="AA777" s="87"/>
      <c r="AB777" s="87"/>
      <c r="AC777" s="90" t="str">
        <f t="shared" ref="AC777:AC778" si="146">_xlfn.TEXTJOIN(", ",TRUE,$AD777:$AM777)</f>
        <v>Distrital</v>
      </c>
      <c r="AD777" s="87" t="s">
        <v>73</v>
      </c>
      <c r="AE777" s="87"/>
      <c r="AF777" s="87"/>
      <c r="AG777" s="87"/>
      <c r="AH777" s="87"/>
      <c r="AI777" s="87"/>
      <c r="AJ777" s="87"/>
      <c r="AK777" s="87"/>
      <c r="AL777" s="87"/>
      <c r="AM777" s="87"/>
      <c r="AN777" s="90" t="s">
        <v>3715</v>
      </c>
      <c r="AO777" s="90" t="s">
        <v>3716</v>
      </c>
      <c r="AP777" s="82"/>
      <c r="AQ777" s="87" t="s">
        <v>60</v>
      </c>
      <c r="AR777" s="87" t="s">
        <v>2854</v>
      </c>
      <c r="AS777" s="82"/>
      <c r="AT777" s="87">
        <v>10</v>
      </c>
      <c r="AU777" s="87">
        <v>14</v>
      </c>
      <c r="AV777" s="87">
        <f t="shared" si="140"/>
        <v>24</v>
      </c>
      <c r="AW777" s="87" t="str">
        <f t="shared" si="54"/>
        <v>Contenidos adaptados</v>
      </c>
      <c r="AX777" s="87" t="s">
        <v>212</v>
      </c>
      <c r="AY777" s="87"/>
      <c r="AZ777" s="87"/>
      <c r="BA777" s="91" t="s">
        <v>3717</v>
      </c>
      <c r="BB777" s="84"/>
      <c r="BC777" s="85"/>
      <c r="BD777" s="85"/>
    </row>
    <row r="778" spans="1:56" s="86" customFormat="1" ht="46.5" customHeight="1">
      <c r="A778" s="78">
        <v>773</v>
      </c>
      <c r="B778" s="79" t="s">
        <v>3718</v>
      </c>
      <c r="C778" s="88">
        <v>45497</v>
      </c>
      <c r="D778" s="89">
        <v>0.60416666666666663</v>
      </c>
      <c r="E778" s="87" t="s">
        <v>58</v>
      </c>
      <c r="F778" s="87" t="s">
        <v>1437</v>
      </c>
      <c r="G778" s="87" t="s">
        <v>62</v>
      </c>
      <c r="H778" s="90" t="s">
        <v>3719</v>
      </c>
      <c r="I778" s="90" t="s">
        <v>64</v>
      </c>
      <c r="J778" s="87" t="s">
        <v>173</v>
      </c>
      <c r="K778" s="87"/>
      <c r="L778" s="91" t="s">
        <v>1317</v>
      </c>
      <c r="M778" s="91" t="s">
        <v>1317</v>
      </c>
      <c r="N778" s="91" t="s">
        <v>1317</v>
      </c>
      <c r="O778" s="90" t="str">
        <f t="shared" si="133"/>
        <v>Distrital</v>
      </c>
      <c r="P778" s="87" t="s">
        <v>73</v>
      </c>
      <c r="Q778" s="87"/>
      <c r="R778" s="87"/>
      <c r="S778" s="87"/>
      <c r="T778" s="87"/>
      <c r="U778" s="87"/>
      <c r="V778" s="90" t="str">
        <f t="shared" si="145"/>
        <v>Distrital</v>
      </c>
      <c r="W778" s="87" t="s">
        <v>73</v>
      </c>
      <c r="X778" s="87"/>
      <c r="Y778" s="87"/>
      <c r="Z778" s="87"/>
      <c r="AA778" s="87"/>
      <c r="AB778" s="87"/>
      <c r="AC778" s="90" t="str">
        <f t="shared" si="146"/>
        <v>Distrital</v>
      </c>
      <c r="AD778" s="87" t="s">
        <v>73</v>
      </c>
      <c r="AE778" s="87"/>
      <c r="AF778" s="87"/>
      <c r="AG778" s="87"/>
      <c r="AH778" s="87"/>
      <c r="AI778" s="87"/>
      <c r="AJ778" s="87"/>
      <c r="AK778" s="87"/>
      <c r="AL778" s="87"/>
      <c r="AM778" s="87"/>
      <c r="AN778" s="90" t="s">
        <v>160</v>
      </c>
      <c r="AO778" s="90" t="s">
        <v>3550</v>
      </c>
      <c r="AP778" s="82"/>
      <c r="AQ778" s="87" t="s">
        <v>59</v>
      </c>
      <c r="AR778" s="87" t="s">
        <v>80</v>
      </c>
      <c r="AS778" s="82"/>
      <c r="AT778" s="87">
        <v>3</v>
      </c>
      <c r="AU778" s="87">
        <v>3</v>
      </c>
      <c r="AV778" s="87">
        <f t="shared" si="140"/>
        <v>6</v>
      </c>
      <c r="AW778" s="87" t="str">
        <f t="shared" si="54"/>
        <v>Ninguna</v>
      </c>
      <c r="AX778" s="87" t="s">
        <v>75</v>
      </c>
      <c r="AY778" s="87"/>
      <c r="AZ778" s="87"/>
      <c r="BA778" s="91" t="s">
        <v>3720</v>
      </c>
      <c r="BB778" s="84"/>
      <c r="BC778" s="85"/>
      <c r="BD778" s="85"/>
    </row>
    <row r="779" spans="1:56" s="86" customFormat="1" ht="46.5" customHeight="1">
      <c r="A779" s="87">
        <v>774</v>
      </c>
      <c r="B779" s="79" t="s">
        <v>3721</v>
      </c>
      <c r="C779" s="88">
        <v>45497</v>
      </c>
      <c r="D779" s="89">
        <v>0.66666666666666663</v>
      </c>
      <c r="E779" s="87" t="s">
        <v>58</v>
      </c>
      <c r="F779" s="87" t="s">
        <v>1437</v>
      </c>
      <c r="G779" s="87" t="s">
        <v>95</v>
      </c>
      <c r="H779" s="90" t="s">
        <v>3722</v>
      </c>
      <c r="I779" s="90" t="s">
        <v>118</v>
      </c>
      <c r="J779" s="87" t="s">
        <v>173</v>
      </c>
      <c r="K779" s="87"/>
      <c r="L779" s="90" t="s">
        <v>3723</v>
      </c>
      <c r="M779" s="91" t="s">
        <v>3724</v>
      </c>
      <c r="N779" s="90" t="s">
        <v>3725</v>
      </c>
      <c r="O779" s="90" t="str">
        <f t="shared" si="133"/>
        <v>Distrital</v>
      </c>
      <c r="P779" s="87" t="s">
        <v>73</v>
      </c>
      <c r="Q779" s="87"/>
      <c r="R779" s="87"/>
      <c r="S779" s="87"/>
      <c r="T779" s="87"/>
      <c r="U779" s="87"/>
      <c r="V779" s="90" t="str">
        <f t="shared" si="137"/>
        <v>Distrital</v>
      </c>
      <c r="W779" s="87" t="s">
        <v>73</v>
      </c>
      <c r="X779" s="87"/>
      <c r="Y779" s="87"/>
      <c r="Z779" s="87"/>
      <c r="AA779" s="87"/>
      <c r="AB779" s="87"/>
      <c r="AC779" s="90" t="str">
        <f t="shared" si="138"/>
        <v>Distrital</v>
      </c>
      <c r="AD779" s="87" t="s">
        <v>73</v>
      </c>
      <c r="AE779" s="87"/>
      <c r="AF779" s="87"/>
      <c r="AG779" s="87"/>
      <c r="AH779" s="87"/>
      <c r="AI779" s="87"/>
      <c r="AJ779" s="87"/>
      <c r="AK779" s="87"/>
      <c r="AL779" s="87"/>
      <c r="AM779" s="87"/>
      <c r="AN779" s="90" t="s">
        <v>160</v>
      </c>
      <c r="AO779" s="102" t="s">
        <v>2638</v>
      </c>
      <c r="AP779" s="82"/>
      <c r="AQ779" s="87" t="s">
        <v>59</v>
      </c>
      <c r="AR779" s="87" t="s">
        <v>80</v>
      </c>
      <c r="AS779" s="82"/>
      <c r="AT779" s="87">
        <v>6</v>
      </c>
      <c r="AU779" s="87">
        <v>4</v>
      </c>
      <c r="AV779" s="87">
        <f t="shared" si="140"/>
        <v>10</v>
      </c>
      <c r="AW779" s="87" t="str">
        <f t="shared" si="54"/>
        <v>Ninguna</v>
      </c>
      <c r="AX779" s="87" t="s">
        <v>75</v>
      </c>
      <c r="AY779" s="87"/>
      <c r="AZ779" s="87"/>
      <c r="BA779" s="91" t="s">
        <v>3726</v>
      </c>
      <c r="BB779" s="84"/>
      <c r="BC779" s="85"/>
      <c r="BD779" s="85"/>
    </row>
    <row r="780" spans="1:56" s="86" customFormat="1" ht="46.5" customHeight="1">
      <c r="A780" s="78">
        <v>775</v>
      </c>
      <c r="B780" s="79" t="s">
        <v>3727</v>
      </c>
      <c r="C780" s="88">
        <v>45497</v>
      </c>
      <c r="D780" s="89">
        <v>0.70833333333333337</v>
      </c>
      <c r="E780" s="87" t="s">
        <v>58</v>
      </c>
      <c r="F780" s="87" t="s">
        <v>1845</v>
      </c>
      <c r="G780" s="87" t="s">
        <v>62</v>
      </c>
      <c r="H780" s="90" t="s">
        <v>3728</v>
      </c>
      <c r="I780" s="90" t="s">
        <v>188</v>
      </c>
      <c r="J780" s="87" t="s">
        <v>816</v>
      </c>
      <c r="K780" s="87"/>
      <c r="L780" s="90" t="s">
        <v>2795</v>
      </c>
      <c r="M780" s="91" t="s">
        <v>3410</v>
      </c>
      <c r="N780" s="90" t="s">
        <v>3729</v>
      </c>
      <c r="O780" s="90" t="str">
        <f t="shared" si="133"/>
        <v>Rafael Uribe Uribe</v>
      </c>
      <c r="P780" s="87" t="s">
        <v>414</v>
      </c>
      <c r="Q780" s="87"/>
      <c r="R780" s="87"/>
      <c r="S780" s="87"/>
      <c r="T780" s="87"/>
      <c r="U780" s="87"/>
      <c r="V780" s="90" t="str">
        <f t="shared" si="137"/>
        <v>Centro Ampliado, Suroriente</v>
      </c>
      <c r="W780" s="87" t="s">
        <v>415</v>
      </c>
      <c r="X780" s="87" t="s">
        <v>108</v>
      </c>
      <c r="Y780" s="87"/>
      <c r="Z780" s="87"/>
      <c r="AA780" s="87"/>
      <c r="AB780" s="87"/>
      <c r="AC780" s="90" t="str">
        <f t="shared" si="138"/>
        <v>Rafael Uribe, San Cristobal, Rafael Uribe</v>
      </c>
      <c r="AD780" s="87" t="s">
        <v>467</v>
      </c>
      <c r="AE780" s="87" t="s">
        <v>371</v>
      </c>
      <c r="AF780" s="87" t="s">
        <v>467</v>
      </c>
      <c r="AG780" s="87"/>
      <c r="AH780" s="87"/>
      <c r="AI780" s="87"/>
      <c r="AJ780" s="87"/>
      <c r="AK780" s="87"/>
      <c r="AL780" s="87"/>
      <c r="AM780" s="87"/>
      <c r="AN780" s="90" t="s">
        <v>3442</v>
      </c>
      <c r="AO780" s="90" t="s">
        <v>90</v>
      </c>
      <c r="AP780" s="82"/>
      <c r="AQ780" s="87" t="s">
        <v>59</v>
      </c>
      <c r="AR780" s="87" t="s">
        <v>80</v>
      </c>
      <c r="AS780" s="82"/>
      <c r="AT780" s="87">
        <v>31</v>
      </c>
      <c r="AU780" s="87">
        <v>6</v>
      </c>
      <c r="AV780" s="87">
        <f t="shared" si="140"/>
        <v>37</v>
      </c>
      <c r="AW780" s="87" t="str">
        <f t="shared" si="54"/>
        <v>Horarios Acordes</v>
      </c>
      <c r="AX780" s="87" t="s">
        <v>213</v>
      </c>
      <c r="AY780" s="87"/>
      <c r="AZ780" s="87"/>
      <c r="BA780" s="91" t="s">
        <v>3730</v>
      </c>
      <c r="BB780" s="84"/>
      <c r="BC780" s="85"/>
      <c r="BD780" s="85"/>
    </row>
    <row r="781" spans="1:56" s="86" customFormat="1" ht="46.5" customHeight="1">
      <c r="A781" s="87">
        <v>776</v>
      </c>
      <c r="B781" s="79" t="s">
        <v>3731</v>
      </c>
      <c r="C781" s="88">
        <v>45498</v>
      </c>
      <c r="D781" s="89">
        <v>0.3125</v>
      </c>
      <c r="E781" s="87" t="s">
        <v>58</v>
      </c>
      <c r="F781" s="87" t="s">
        <v>61</v>
      </c>
      <c r="G781" s="87" t="s">
        <v>62</v>
      </c>
      <c r="H781" s="90" t="s">
        <v>3243</v>
      </c>
      <c r="I781" s="90" t="s">
        <v>128</v>
      </c>
      <c r="J781" s="87" t="s">
        <v>816</v>
      </c>
      <c r="K781" s="87"/>
      <c r="L781" s="90" t="s">
        <v>2795</v>
      </c>
      <c r="M781" s="91" t="s">
        <v>3410</v>
      </c>
      <c r="N781" s="90" t="s">
        <v>3411</v>
      </c>
      <c r="O781" s="90" t="str">
        <f t="shared" si="133"/>
        <v>Distrital</v>
      </c>
      <c r="P781" s="87" t="s">
        <v>73</v>
      </c>
      <c r="Q781" s="87"/>
      <c r="R781" s="87"/>
      <c r="S781" s="87"/>
      <c r="T781" s="87"/>
      <c r="U781" s="87"/>
      <c r="V781" s="90" t="str">
        <f t="shared" si="137"/>
        <v>Distrital</v>
      </c>
      <c r="W781" s="87" t="s">
        <v>73</v>
      </c>
      <c r="X781" s="87"/>
      <c r="Y781" s="87"/>
      <c r="Z781" s="87"/>
      <c r="AA781" s="87"/>
      <c r="AB781" s="87"/>
      <c r="AC781" s="90" t="str">
        <f t="shared" si="138"/>
        <v>Distrital</v>
      </c>
      <c r="AD781" s="87" t="s">
        <v>73</v>
      </c>
      <c r="AE781" s="87"/>
      <c r="AF781" s="87"/>
      <c r="AG781" s="87"/>
      <c r="AH781" s="87"/>
      <c r="AI781" s="87"/>
      <c r="AJ781" s="87"/>
      <c r="AK781" s="87"/>
      <c r="AL781" s="87"/>
      <c r="AM781" s="87"/>
      <c r="AN781" s="90" t="s">
        <v>160</v>
      </c>
      <c r="AO781" s="90" t="s">
        <v>3732</v>
      </c>
      <c r="AP781" s="82"/>
      <c r="AQ781" s="87" t="s">
        <v>60</v>
      </c>
      <c r="AR781" s="87" t="s">
        <v>2854</v>
      </c>
      <c r="AS781" s="82"/>
      <c r="AT781" s="87">
        <v>28</v>
      </c>
      <c r="AU781" s="87">
        <v>12</v>
      </c>
      <c r="AV781" s="87">
        <f t="shared" si="140"/>
        <v>40</v>
      </c>
      <c r="AW781" s="87" t="str">
        <f t="shared" si="54"/>
        <v>Horarios Acordes</v>
      </c>
      <c r="AX781" s="87" t="s">
        <v>213</v>
      </c>
      <c r="AY781" s="87"/>
      <c r="AZ781" s="87"/>
      <c r="BA781" s="91" t="s">
        <v>3733</v>
      </c>
      <c r="BB781" s="84"/>
      <c r="BC781" s="85"/>
      <c r="BD781" s="85"/>
    </row>
    <row r="782" spans="1:56" s="86" customFormat="1" ht="46.5" customHeight="1">
      <c r="A782" s="78">
        <v>777</v>
      </c>
      <c r="B782" s="79" t="s">
        <v>3734</v>
      </c>
      <c r="C782" s="88">
        <v>45498</v>
      </c>
      <c r="D782" s="89">
        <v>0.33333333333333331</v>
      </c>
      <c r="E782" s="87" t="s">
        <v>58</v>
      </c>
      <c r="F782" s="87" t="s">
        <v>2680</v>
      </c>
      <c r="G782" s="87" t="s">
        <v>62</v>
      </c>
      <c r="H782" s="90" t="s">
        <v>3735</v>
      </c>
      <c r="I782" s="90" t="s">
        <v>128</v>
      </c>
      <c r="J782" s="87" t="s">
        <v>173</v>
      </c>
      <c r="K782" s="87"/>
      <c r="L782" s="90" t="s">
        <v>3023</v>
      </c>
      <c r="M782" s="91" t="s">
        <v>3736</v>
      </c>
      <c r="N782" s="90" t="s">
        <v>3737</v>
      </c>
      <c r="O782" s="90" t="str">
        <f t="shared" si="133"/>
        <v>Barrios Unidos</v>
      </c>
      <c r="P782" s="87" t="s">
        <v>686</v>
      </c>
      <c r="Q782" s="87"/>
      <c r="R782" s="87"/>
      <c r="S782" s="87"/>
      <c r="T782" s="87"/>
      <c r="U782" s="87"/>
      <c r="V782" s="90" t="str">
        <f t="shared" si="137"/>
        <v>Centro Ampliado</v>
      </c>
      <c r="W782" s="87" t="s">
        <v>415</v>
      </c>
      <c r="X782" s="87"/>
      <c r="Y782" s="87"/>
      <c r="Z782" s="87"/>
      <c r="AA782" s="87"/>
      <c r="AB782" s="87"/>
      <c r="AC782" s="90" t="str">
        <f t="shared" si="138"/>
        <v>Barrios Unidos</v>
      </c>
      <c r="AD782" s="87" t="s">
        <v>686</v>
      </c>
      <c r="AE782" s="87"/>
      <c r="AF782" s="87"/>
      <c r="AG782" s="87"/>
      <c r="AH782" s="87"/>
      <c r="AI782" s="87"/>
      <c r="AJ782" s="87"/>
      <c r="AK782" s="87"/>
      <c r="AL782" s="87"/>
      <c r="AM782" s="87"/>
      <c r="AN782" s="90" t="s">
        <v>2620</v>
      </c>
      <c r="AO782" s="90" t="s">
        <v>3675</v>
      </c>
      <c r="AP782" s="82"/>
      <c r="AQ782" s="87" t="s">
        <v>59</v>
      </c>
      <c r="AR782" s="87" t="s">
        <v>80</v>
      </c>
      <c r="AS782" s="82"/>
      <c r="AT782" s="87">
        <v>25</v>
      </c>
      <c r="AU782" s="87">
        <v>1</v>
      </c>
      <c r="AV782" s="87">
        <f t="shared" si="140"/>
        <v>26</v>
      </c>
      <c r="AW782" s="87" t="str">
        <f t="shared" si="54"/>
        <v>Ninguna</v>
      </c>
      <c r="AX782" s="87" t="s">
        <v>75</v>
      </c>
      <c r="AY782" s="87"/>
      <c r="AZ782" s="87"/>
      <c r="BA782" s="91" t="s">
        <v>3738</v>
      </c>
      <c r="BB782" s="84"/>
      <c r="BC782" s="85"/>
      <c r="BD782" s="85"/>
    </row>
    <row r="783" spans="1:56" s="86" customFormat="1" ht="46.5" customHeight="1">
      <c r="A783" s="87">
        <v>778</v>
      </c>
      <c r="B783" s="79" t="s">
        <v>3739</v>
      </c>
      <c r="C783" s="88">
        <v>45498</v>
      </c>
      <c r="D783" s="89">
        <v>0.35416666666666669</v>
      </c>
      <c r="E783" s="87" t="s">
        <v>93</v>
      </c>
      <c r="F783" s="87" t="s">
        <v>321</v>
      </c>
      <c r="G783" s="87" t="s">
        <v>62</v>
      </c>
      <c r="H783" s="90" t="s">
        <v>3740</v>
      </c>
      <c r="I783" s="90" t="s">
        <v>118</v>
      </c>
      <c r="J783" s="87" t="s">
        <v>70</v>
      </c>
      <c r="K783" s="87" t="s">
        <v>1810</v>
      </c>
      <c r="L783" s="90" t="s">
        <v>3741</v>
      </c>
      <c r="M783" s="91" t="s">
        <v>72</v>
      </c>
      <c r="N783" s="90" t="s">
        <v>3742</v>
      </c>
      <c r="O783" s="90" t="str">
        <f>_xlfn.TEXTJOIN(", ",TRUE,$P783:$T783)</f>
        <v>Suba</v>
      </c>
      <c r="P783" s="87" t="s">
        <v>394</v>
      </c>
      <c r="Q783" s="87"/>
      <c r="R783" s="87"/>
      <c r="S783" s="87"/>
      <c r="T783" s="87"/>
      <c r="U783" s="87"/>
      <c r="V783" s="90" t="str">
        <f>_xlfn.TEXTJOIN(", ",TRUE,$W783:$AB783)</f>
        <v>Noroccidente</v>
      </c>
      <c r="W783" s="87" t="s">
        <v>395</v>
      </c>
      <c r="X783" s="87"/>
      <c r="Y783" s="87"/>
      <c r="Z783" s="87"/>
      <c r="AA783" s="87"/>
      <c r="AB783" s="87"/>
      <c r="AC783" s="90" t="str">
        <f>_xlfn.TEXTJOIN(", ",TRUE,$AD783:$AM783)</f>
        <v>Suba</v>
      </c>
      <c r="AD783" s="87" t="s">
        <v>394</v>
      </c>
      <c r="AE783" s="87"/>
      <c r="AF783" s="87"/>
      <c r="AG783" s="87"/>
      <c r="AH783" s="87"/>
      <c r="AI783" s="87"/>
      <c r="AJ783" s="87"/>
      <c r="AK783" s="87"/>
      <c r="AL783" s="87"/>
      <c r="AM783" s="87"/>
      <c r="AN783" s="90" t="s">
        <v>160</v>
      </c>
      <c r="AO783" s="90" t="s">
        <v>3743</v>
      </c>
      <c r="AP783" s="82"/>
      <c r="AQ783" s="87" t="s">
        <v>59</v>
      </c>
      <c r="AR783" s="87" t="s">
        <v>80</v>
      </c>
      <c r="AS783" s="82"/>
      <c r="AT783" s="87">
        <v>18</v>
      </c>
      <c r="AU783" s="87">
        <v>1</v>
      </c>
      <c r="AV783" s="87">
        <f>AT783+AU783</f>
        <v>19</v>
      </c>
      <c r="AW783" s="87" t="str">
        <f>_xlfn.TEXTJOIN(", ",TRUE,$AX783:$AZ783)</f>
        <v>Horarios Acordes</v>
      </c>
      <c r="AX783" s="87" t="s">
        <v>213</v>
      </c>
      <c r="AY783" s="87"/>
      <c r="AZ783" s="87"/>
      <c r="BA783" s="91" t="s">
        <v>3744</v>
      </c>
      <c r="BB783" s="84"/>
      <c r="BC783" s="85"/>
      <c r="BD783" s="85"/>
    </row>
    <row r="784" spans="1:56" s="86" customFormat="1" ht="58.5" customHeight="1">
      <c r="A784" s="78">
        <v>779</v>
      </c>
      <c r="B784" s="79" t="s">
        <v>3745</v>
      </c>
      <c r="C784" s="88">
        <v>45498</v>
      </c>
      <c r="D784" s="89">
        <v>0.58333333333333337</v>
      </c>
      <c r="E784" s="87" t="s">
        <v>58</v>
      </c>
      <c r="F784" s="87" t="s">
        <v>1142</v>
      </c>
      <c r="G784" s="87" t="s">
        <v>62</v>
      </c>
      <c r="H784" s="90" t="s">
        <v>3746</v>
      </c>
      <c r="I784" s="90" t="s">
        <v>64</v>
      </c>
      <c r="J784" s="87" t="s">
        <v>119</v>
      </c>
      <c r="K784" s="87" t="s">
        <v>209</v>
      </c>
      <c r="L784" s="90" t="s">
        <v>1144</v>
      </c>
      <c r="M784" s="91" t="s">
        <v>3747</v>
      </c>
      <c r="N784" s="90" t="s">
        <v>1145</v>
      </c>
      <c r="O784" s="90" t="str">
        <f>_xlfn.TEXTJOIN(", ",TRUE,$P784:$T784)</f>
        <v>Distrital</v>
      </c>
      <c r="P784" s="87" t="s">
        <v>73</v>
      </c>
      <c r="Q784" s="87"/>
      <c r="R784" s="87"/>
      <c r="S784" s="87"/>
      <c r="T784" s="87"/>
      <c r="U784" s="87"/>
      <c r="V784" s="90" t="str">
        <f>_xlfn.TEXTJOIN(", ",TRUE,$W784:$AB784)</f>
        <v>Distrital</v>
      </c>
      <c r="W784" s="87" t="s">
        <v>73</v>
      </c>
      <c r="X784" s="87"/>
      <c r="Y784" s="87"/>
      <c r="Z784" s="87"/>
      <c r="AA784" s="87"/>
      <c r="AB784" s="87"/>
      <c r="AC784" s="90" t="str">
        <f>_xlfn.TEXTJOIN(", ",TRUE,$AD784:$AM784)</f>
        <v>Distrital</v>
      </c>
      <c r="AD784" s="87" t="s">
        <v>73</v>
      </c>
      <c r="AE784" s="87"/>
      <c r="AF784" s="87"/>
      <c r="AG784" s="87"/>
      <c r="AH784" s="87"/>
      <c r="AI784" s="87"/>
      <c r="AJ784" s="87"/>
      <c r="AK784" s="87"/>
      <c r="AL784" s="87"/>
      <c r="AM784" s="87"/>
      <c r="AN784" s="90" t="s">
        <v>160</v>
      </c>
      <c r="AO784" s="90" t="s">
        <v>1146</v>
      </c>
      <c r="AP784" s="82"/>
      <c r="AQ784" s="87" t="s">
        <v>59</v>
      </c>
      <c r="AR784" s="87" t="s">
        <v>80</v>
      </c>
      <c r="AS784" s="82"/>
      <c r="AT784" s="87">
        <v>1</v>
      </c>
      <c r="AU784" s="87">
        <v>7</v>
      </c>
      <c r="AV784" s="87">
        <f>AT784+AU784</f>
        <v>8</v>
      </c>
      <c r="AW784" s="87" t="str">
        <f>_xlfn.TEXTJOIN(", ",TRUE,$AX784:$AZ784)</f>
        <v>Contenidos adaptados</v>
      </c>
      <c r="AX784" s="87" t="s">
        <v>212</v>
      </c>
      <c r="AY784" s="87"/>
      <c r="AZ784" s="87"/>
      <c r="BA784" s="91" t="s">
        <v>3748</v>
      </c>
      <c r="BB784" s="84"/>
      <c r="BC784" s="85"/>
      <c r="BD784" s="85"/>
    </row>
    <row r="785" spans="1:56" s="86" customFormat="1" ht="64.5" customHeight="1">
      <c r="A785" s="87">
        <v>780</v>
      </c>
      <c r="B785" s="79" t="s">
        <v>3749</v>
      </c>
      <c r="C785" s="88">
        <v>45498</v>
      </c>
      <c r="D785" s="89">
        <v>0.58333333333333337</v>
      </c>
      <c r="E785" s="87" t="s">
        <v>58</v>
      </c>
      <c r="F785" s="87" t="s">
        <v>61</v>
      </c>
      <c r="G785" s="87" t="s">
        <v>62</v>
      </c>
      <c r="H785" s="90" t="s">
        <v>3750</v>
      </c>
      <c r="I785" s="90" t="s">
        <v>128</v>
      </c>
      <c r="J785" s="87" t="s">
        <v>119</v>
      </c>
      <c r="K785" s="87" t="s">
        <v>129</v>
      </c>
      <c r="L785" s="90" t="s">
        <v>72</v>
      </c>
      <c r="M785" s="91" t="s">
        <v>72</v>
      </c>
      <c r="N785" s="90" t="s">
        <v>72</v>
      </c>
      <c r="O785" s="90" t="str">
        <f t="shared" si="133"/>
        <v>Distrital</v>
      </c>
      <c r="P785" s="87" t="s">
        <v>73</v>
      </c>
      <c r="Q785" s="87"/>
      <c r="R785" s="87"/>
      <c r="S785" s="87"/>
      <c r="T785" s="87"/>
      <c r="U785" s="87"/>
      <c r="V785" s="90" t="str">
        <f t="shared" si="137"/>
        <v>Distrital</v>
      </c>
      <c r="W785" s="87" t="s">
        <v>73</v>
      </c>
      <c r="X785" s="87"/>
      <c r="Y785" s="87"/>
      <c r="Z785" s="87"/>
      <c r="AA785" s="87"/>
      <c r="AB785" s="87"/>
      <c r="AC785" s="90" t="str">
        <f t="shared" si="138"/>
        <v>Distrital</v>
      </c>
      <c r="AD785" s="87" t="s">
        <v>73</v>
      </c>
      <c r="AE785" s="87"/>
      <c r="AF785" s="87"/>
      <c r="AG785" s="87"/>
      <c r="AH785" s="87"/>
      <c r="AI785" s="87"/>
      <c r="AJ785" s="87"/>
      <c r="AK785" s="87"/>
      <c r="AL785" s="87"/>
      <c r="AM785" s="87"/>
      <c r="AN785" s="90" t="s">
        <v>160</v>
      </c>
      <c r="AO785" s="90" t="s">
        <v>3751</v>
      </c>
      <c r="AP785" s="82"/>
      <c r="AQ785" s="87" t="s">
        <v>60</v>
      </c>
      <c r="AR785" s="87" t="s">
        <v>2854</v>
      </c>
      <c r="AS785" s="82"/>
      <c r="AT785" s="87">
        <v>93</v>
      </c>
      <c r="AU785" s="87">
        <v>12</v>
      </c>
      <c r="AV785" s="87">
        <f t="shared" si="140"/>
        <v>105</v>
      </c>
      <c r="AW785" s="87" t="str">
        <f t="shared" si="54"/>
        <v>Ninguna</v>
      </c>
      <c r="AX785" s="87" t="s">
        <v>75</v>
      </c>
      <c r="AY785" s="87"/>
      <c r="AZ785" s="87"/>
      <c r="BA785" s="91" t="s">
        <v>3752</v>
      </c>
      <c r="BB785" s="84"/>
      <c r="BC785" s="85"/>
      <c r="BD785" s="85"/>
    </row>
    <row r="786" spans="1:56" s="86" customFormat="1" ht="64.5" customHeight="1">
      <c r="A786" s="78">
        <v>781</v>
      </c>
      <c r="B786" s="79" t="s">
        <v>2908</v>
      </c>
      <c r="C786" s="88">
        <v>45499</v>
      </c>
      <c r="D786" s="89">
        <v>0.375</v>
      </c>
      <c r="E786" s="87" t="s">
        <v>58</v>
      </c>
      <c r="F786" s="87" t="s">
        <v>1750</v>
      </c>
      <c r="G786" s="87" t="s">
        <v>62</v>
      </c>
      <c r="H786" s="90" t="s">
        <v>2909</v>
      </c>
      <c r="I786" s="90" t="s">
        <v>118</v>
      </c>
      <c r="J786" s="87" t="s">
        <v>70</v>
      </c>
      <c r="K786" s="87" t="s">
        <v>71</v>
      </c>
      <c r="L786" s="90" t="s">
        <v>3661</v>
      </c>
      <c r="M786" s="91" t="s">
        <v>3662</v>
      </c>
      <c r="N786" s="90" t="s">
        <v>3663</v>
      </c>
      <c r="O786" s="90" t="str">
        <f>_xlfn.TEXTJOIN(", ",TRUE,$P786:$T786)</f>
        <v>Distrital</v>
      </c>
      <c r="P786" s="87" t="s">
        <v>73</v>
      </c>
      <c r="Q786" s="87"/>
      <c r="R786" s="87"/>
      <c r="S786" s="87"/>
      <c r="T786" s="87"/>
      <c r="U786" s="87"/>
      <c r="V786" s="90" t="str">
        <f>_xlfn.TEXTJOIN(", ",TRUE,$W786:$AB786)</f>
        <v>Distrital</v>
      </c>
      <c r="W786" s="87" t="s">
        <v>73</v>
      </c>
      <c r="X786" s="87"/>
      <c r="Y786" s="87"/>
      <c r="Z786" s="87"/>
      <c r="AA786" s="87"/>
      <c r="AB786" s="87"/>
      <c r="AC786" s="90" t="str">
        <f>_xlfn.TEXTJOIN(", ",TRUE,$AD786:$AM786)</f>
        <v>Distrital</v>
      </c>
      <c r="AD786" s="87" t="s">
        <v>73</v>
      </c>
      <c r="AE786" s="87"/>
      <c r="AF786" s="87"/>
      <c r="AG786" s="87"/>
      <c r="AH786" s="87"/>
      <c r="AI786" s="87"/>
      <c r="AJ786" s="87"/>
      <c r="AK786" s="87"/>
      <c r="AL786" s="87"/>
      <c r="AM786" s="87"/>
      <c r="AN786" s="90" t="s">
        <v>3664</v>
      </c>
      <c r="AO786" s="90" t="s">
        <v>3665</v>
      </c>
      <c r="AP786" s="82"/>
      <c r="AQ786" s="87" t="s">
        <v>59</v>
      </c>
      <c r="AR786" s="87" t="s">
        <v>80</v>
      </c>
      <c r="AS786" s="82"/>
      <c r="AT786" s="87">
        <v>14</v>
      </c>
      <c r="AU786" s="87">
        <v>3</v>
      </c>
      <c r="AV786" s="87">
        <f t="shared" si="140"/>
        <v>17</v>
      </c>
      <c r="AW786" s="87" t="str">
        <f t="shared" si="54"/>
        <v>Ninguna</v>
      </c>
      <c r="AX786" s="87" t="s">
        <v>75</v>
      </c>
      <c r="AY786" s="87"/>
      <c r="AZ786" s="87"/>
      <c r="BA786" s="91" t="s">
        <v>3584</v>
      </c>
      <c r="BB786" s="84"/>
      <c r="BC786" s="85"/>
      <c r="BD786" s="85"/>
    </row>
    <row r="787" spans="1:56" s="86" customFormat="1" ht="46.5" customHeight="1">
      <c r="A787" s="87">
        <v>782</v>
      </c>
      <c r="B787" s="79" t="s">
        <v>3753</v>
      </c>
      <c r="C787" s="88">
        <v>45499</v>
      </c>
      <c r="D787" s="89">
        <v>0.39583333333333331</v>
      </c>
      <c r="E787" s="87" t="s">
        <v>58</v>
      </c>
      <c r="F787" s="87" t="s">
        <v>1769</v>
      </c>
      <c r="G787" s="87" t="s">
        <v>62</v>
      </c>
      <c r="H787" s="90" t="s">
        <v>3754</v>
      </c>
      <c r="I787" s="90" t="s">
        <v>128</v>
      </c>
      <c r="J787" s="87" t="s">
        <v>70</v>
      </c>
      <c r="K787" s="87" t="s">
        <v>104</v>
      </c>
      <c r="L787" s="90" t="s">
        <v>3755</v>
      </c>
      <c r="M787" s="91" t="s">
        <v>3756</v>
      </c>
      <c r="N787" s="90" t="s">
        <v>3757</v>
      </c>
      <c r="O787" s="90" t="str">
        <f t="shared" si="133"/>
        <v>Engativá</v>
      </c>
      <c r="P787" s="87" t="s">
        <v>123</v>
      </c>
      <c r="Q787" s="87"/>
      <c r="R787" s="87"/>
      <c r="S787" s="87"/>
      <c r="T787" s="87"/>
      <c r="U787" s="87"/>
      <c r="V787" s="90" t="str">
        <f t="shared" si="137"/>
        <v>Occidente</v>
      </c>
      <c r="W787" s="87" t="s">
        <v>124</v>
      </c>
      <c r="X787" s="87"/>
      <c r="Y787" s="87"/>
      <c r="Z787" s="87"/>
      <c r="AA787" s="87"/>
      <c r="AB787" s="87"/>
      <c r="AC787" s="90" t="str">
        <f t="shared" si="138"/>
        <v>Tabora, Engativá</v>
      </c>
      <c r="AD787" s="87" t="s">
        <v>257</v>
      </c>
      <c r="AE787" s="87" t="s">
        <v>123</v>
      </c>
      <c r="AF787" s="87"/>
      <c r="AG787" s="87"/>
      <c r="AH787" s="87"/>
      <c r="AI787" s="87"/>
      <c r="AJ787" s="87"/>
      <c r="AK787" s="87"/>
      <c r="AL787" s="87"/>
      <c r="AM787" s="87"/>
      <c r="AN787" s="90" t="s">
        <v>3758</v>
      </c>
      <c r="AO787" s="90" t="s">
        <v>2066</v>
      </c>
      <c r="AP787" s="82"/>
      <c r="AQ787" s="87" t="s">
        <v>59</v>
      </c>
      <c r="AR787" s="87" t="s">
        <v>80</v>
      </c>
      <c r="AS787" s="82"/>
      <c r="AT787" s="87">
        <v>11</v>
      </c>
      <c r="AU787" s="87">
        <v>5</v>
      </c>
      <c r="AV787" s="87">
        <f t="shared" si="140"/>
        <v>16</v>
      </c>
      <c r="AW787" s="87" t="str">
        <f t="shared" si="54"/>
        <v>Accesibilidad Universal</v>
      </c>
      <c r="AX787" s="87" t="s">
        <v>246</v>
      </c>
      <c r="AY787" s="87"/>
      <c r="AZ787" s="87"/>
      <c r="BA787" s="91" t="s">
        <v>3759</v>
      </c>
      <c r="BB787" s="84"/>
      <c r="BC787" s="85"/>
      <c r="BD787" s="85"/>
    </row>
    <row r="788" spans="1:56" s="86" customFormat="1" ht="46.5" customHeight="1">
      <c r="A788" s="78">
        <v>783</v>
      </c>
      <c r="B788" s="79" t="s">
        <v>3760</v>
      </c>
      <c r="C788" s="88">
        <v>45499</v>
      </c>
      <c r="D788" s="89">
        <v>0.4375</v>
      </c>
      <c r="E788" s="87" t="s">
        <v>58</v>
      </c>
      <c r="F788" s="87" t="s">
        <v>1184</v>
      </c>
      <c r="G788" s="87" t="s">
        <v>62</v>
      </c>
      <c r="H788" s="90" t="s">
        <v>3761</v>
      </c>
      <c r="I788" s="90" t="s">
        <v>188</v>
      </c>
      <c r="J788" s="87" t="s">
        <v>70</v>
      </c>
      <c r="K788" s="87" t="s">
        <v>104</v>
      </c>
      <c r="L788" s="90" t="s">
        <v>3755</v>
      </c>
      <c r="M788" s="91" t="s">
        <v>3756</v>
      </c>
      <c r="N788" s="90" t="s">
        <v>3757</v>
      </c>
      <c r="O788" s="90" t="str">
        <f t="shared" si="133"/>
        <v>Engativá</v>
      </c>
      <c r="P788" s="87" t="s">
        <v>123</v>
      </c>
      <c r="Q788" s="87"/>
      <c r="R788" s="87"/>
      <c r="S788" s="87"/>
      <c r="T788" s="87"/>
      <c r="U788" s="87"/>
      <c r="V788" s="90" t="str">
        <f t="shared" si="137"/>
        <v>Occidente</v>
      </c>
      <c r="W788" s="87" t="s">
        <v>124</v>
      </c>
      <c r="X788" s="87"/>
      <c r="Y788" s="87"/>
      <c r="Z788" s="87"/>
      <c r="AA788" s="87"/>
      <c r="AB788" s="87"/>
      <c r="AC788" s="90" t="str">
        <f t="shared" si="138"/>
        <v>Tabora, Engativá</v>
      </c>
      <c r="AD788" s="87" t="s">
        <v>257</v>
      </c>
      <c r="AE788" s="87" t="s">
        <v>123</v>
      </c>
      <c r="AF788" s="87"/>
      <c r="AG788" s="87"/>
      <c r="AH788" s="87"/>
      <c r="AI788" s="87"/>
      <c r="AJ788" s="87"/>
      <c r="AK788" s="87"/>
      <c r="AL788" s="87"/>
      <c r="AM788" s="87"/>
      <c r="AN788" s="90" t="s">
        <v>3758</v>
      </c>
      <c r="AO788" s="90" t="s">
        <v>2066</v>
      </c>
      <c r="AP788" s="82"/>
      <c r="AQ788" s="87" t="s">
        <v>59</v>
      </c>
      <c r="AR788" s="87" t="s">
        <v>80</v>
      </c>
      <c r="AS788" s="82"/>
      <c r="AT788" s="87">
        <v>11</v>
      </c>
      <c r="AU788" s="87">
        <v>5</v>
      </c>
      <c r="AV788" s="87">
        <f t="shared" si="140"/>
        <v>16</v>
      </c>
      <c r="AW788" s="87" t="str">
        <f t="shared" si="54"/>
        <v>Accesibilidad Universal</v>
      </c>
      <c r="AX788" s="87" t="s">
        <v>246</v>
      </c>
      <c r="AY788" s="87"/>
      <c r="AZ788" s="87"/>
      <c r="BA788" s="91" t="s">
        <v>3762</v>
      </c>
      <c r="BB788" s="84"/>
      <c r="BC788" s="85"/>
      <c r="BD788" s="85"/>
    </row>
    <row r="789" spans="1:56" s="86" customFormat="1" ht="46.5" customHeight="1">
      <c r="A789" s="87">
        <v>784</v>
      </c>
      <c r="B789" s="79" t="s">
        <v>3763</v>
      </c>
      <c r="C789" s="88">
        <v>45499</v>
      </c>
      <c r="D789" s="89">
        <v>0.58333333333333337</v>
      </c>
      <c r="E789" s="87" t="s">
        <v>93</v>
      </c>
      <c r="F789" s="87" t="s">
        <v>1818</v>
      </c>
      <c r="G789" s="87" t="s">
        <v>62</v>
      </c>
      <c r="H789" s="90" t="s">
        <v>3764</v>
      </c>
      <c r="I789" s="90" t="s">
        <v>118</v>
      </c>
      <c r="J789" s="87" t="s">
        <v>173</v>
      </c>
      <c r="K789" s="87"/>
      <c r="L789" s="90" t="s">
        <v>3765</v>
      </c>
      <c r="M789" s="91" t="s">
        <v>3766</v>
      </c>
      <c r="N789" s="90" t="s">
        <v>3767</v>
      </c>
      <c r="O789" s="90" t="str">
        <f t="shared" si="133"/>
        <v>No Especifica</v>
      </c>
      <c r="P789" s="87" t="s">
        <v>3483</v>
      </c>
      <c r="Q789" s="87"/>
      <c r="R789" s="87"/>
      <c r="S789" s="87"/>
      <c r="T789" s="87"/>
      <c r="U789" s="87"/>
      <c r="V789" s="90" t="str">
        <f t="shared" si="137"/>
        <v>Distrital</v>
      </c>
      <c r="W789" s="87" t="s">
        <v>73</v>
      </c>
      <c r="X789" s="87"/>
      <c r="Y789" s="87"/>
      <c r="Z789" s="87"/>
      <c r="AA789" s="87"/>
      <c r="AB789" s="87"/>
      <c r="AC789" s="90" t="str">
        <f t="shared" si="138"/>
        <v>Distrital</v>
      </c>
      <c r="AD789" s="87" t="s">
        <v>73</v>
      </c>
      <c r="AE789" s="87"/>
      <c r="AF789" s="87"/>
      <c r="AG789" s="87"/>
      <c r="AH789" s="87"/>
      <c r="AI789" s="87"/>
      <c r="AJ789" s="87"/>
      <c r="AK789" s="87"/>
      <c r="AL789" s="87"/>
      <c r="AM789" s="87"/>
      <c r="AN789" s="90" t="s">
        <v>160</v>
      </c>
      <c r="AO789" s="90" t="s">
        <v>3768</v>
      </c>
      <c r="AP789" s="82"/>
      <c r="AQ789" s="87" t="s">
        <v>59</v>
      </c>
      <c r="AR789" s="87" t="s">
        <v>80</v>
      </c>
      <c r="AS789" s="82"/>
      <c r="AT789" s="87">
        <v>18</v>
      </c>
      <c r="AU789" s="87">
        <v>1</v>
      </c>
      <c r="AV789" s="87">
        <f t="shared" si="140"/>
        <v>19</v>
      </c>
      <c r="AW789" s="87" t="str">
        <f t="shared" si="54"/>
        <v>Accesibilidad Universal</v>
      </c>
      <c r="AX789" s="87" t="s">
        <v>246</v>
      </c>
      <c r="AY789" s="87"/>
      <c r="AZ789" s="87"/>
      <c r="BA789" s="91" t="s">
        <v>3769</v>
      </c>
      <c r="BB789" s="84"/>
      <c r="BC789" s="85"/>
      <c r="BD789" s="85"/>
    </row>
    <row r="790" spans="1:56" s="86" customFormat="1" ht="58.5" customHeight="1">
      <c r="A790" s="78">
        <v>785</v>
      </c>
      <c r="B790" s="79" t="s">
        <v>3770</v>
      </c>
      <c r="C790" s="88">
        <v>45499</v>
      </c>
      <c r="D790" s="89">
        <v>0.72916666666666663</v>
      </c>
      <c r="E790" s="87" t="s">
        <v>58</v>
      </c>
      <c r="F790" s="87" t="s">
        <v>2680</v>
      </c>
      <c r="G790" s="87" t="s">
        <v>62</v>
      </c>
      <c r="H790" s="90" t="s">
        <v>3771</v>
      </c>
      <c r="I790" s="90" t="s">
        <v>128</v>
      </c>
      <c r="J790" s="87" t="s">
        <v>119</v>
      </c>
      <c r="K790" s="87" t="s">
        <v>120</v>
      </c>
      <c r="L790" s="90" t="s">
        <v>3772</v>
      </c>
      <c r="M790" s="91" t="s">
        <v>3773</v>
      </c>
      <c r="N790" s="90" t="s">
        <v>72</v>
      </c>
      <c r="O790" s="90" t="str">
        <f t="shared" si="133"/>
        <v>Fontibón</v>
      </c>
      <c r="P790" s="87" t="s">
        <v>420</v>
      </c>
      <c r="Q790" s="87"/>
      <c r="R790" s="87"/>
      <c r="S790" s="87"/>
      <c r="T790" s="87"/>
      <c r="U790" s="87"/>
      <c r="V790" s="90" t="str">
        <f t="shared" si="137"/>
        <v>Occidente</v>
      </c>
      <c r="W790" s="87" t="s">
        <v>124</v>
      </c>
      <c r="X790" s="87"/>
      <c r="Y790" s="87"/>
      <c r="Z790" s="87"/>
      <c r="AA790" s="87"/>
      <c r="AB790" s="87"/>
      <c r="AC790" s="90" t="str">
        <f t="shared" si="138"/>
        <v>Fontibón</v>
      </c>
      <c r="AD790" s="87" t="s">
        <v>420</v>
      </c>
      <c r="AE790" s="87"/>
      <c r="AF790" s="87"/>
      <c r="AG790" s="87"/>
      <c r="AH790" s="87"/>
      <c r="AI790" s="87"/>
      <c r="AJ790" s="87"/>
      <c r="AK790" s="87"/>
      <c r="AL790" s="87"/>
      <c r="AM790" s="87"/>
      <c r="AN790" s="90" t="s">
        <v>3774</v>
      </c>
      <c r="AO790" s="90" t="s">
        <v>3775</v>
      </c>
      <c r="AP790" s="82"/>
      <c r="AQ790" s="87" t="s">
        <v>59</v>
      </c>
      <c r="AR790" s="87" t="s">
        <v>80</v>
      </c>
      <c r="AS790" s="82"/>
      <c r="AT790" s="87">
        <v>5</v>
      </c>
      <c r="AU790" s="87">
        <v>1</v>
      </c>
      <c r="AV790" s="87">
        <f t="shared" ref="AV790:AV791" si="147">AT790+AU790</f>
        <v>6</v>
      </c>
      <c r="AW790" s="87" t="str">
        <f t="shared" si="54"/>
        <v>Ninguna</v>
      </c>
      <c r="AX790" s="87" t="s">
        <v>75</v>
      </c>
      <c r="AY790" s="87"/>
      <c r="AZ790" s="87"/>
      <c r="BA790" s="91" t="s">
        <v>3776</v>
      </c>
      <c r="BB790" s="84"/>
      <c r="BC790" s="85"/>
      <c r="BD790" s="85"/>
    </row>
    <row r="791" spans="1:56" s="86" customFormat="1" ht="58.5" customHeight="1">
      <c r="A791" s="87">
        <v>786</v>
      </c>
      <c r="B791" s="79" t="s">
        <v>3777</v>
      </c>
      <c r="C791" s="88">
        <v>45499</v>
      </c>
      <c r="D791" s="89">
        <v>0.75</v>
      </c>
      <c r="E791" s="87" t="s">
        <v>93</v>
      </c>
      <c r="F791" s="87" t="s">
        <v>102</v>
      </c>
      <c r="G791" s="87" t="s">
        <v>95</v>
      </c>
      <c r="H791" s="90" t="s">
        <v>3778</v>
      </c>
      <c r="I791" s="90" t="s">
        <v>118</v>
      </c>
      <c r="J791" s="87" t="s">
        <v>119</v>
      </c>
      <c r="K791" s="87" t="s">
        <v>129</v>
      </c>
      <c r="L791" s="90" t="s">
        <v>3223</v>
      </c>
      <c r="M791" s="91" t="s">
        <v>2894</v>
      </c>
      <c r="N791" s="90" t="s">
        <v>2895</v>
      </c>
      <c r="O791" s="90" t="str">
        <f>_xlfn.TEXTJOIN(", ",TRUE,$P791:$T791)</f>
        <v>Distrital</v>
      </c>
      <c r="P791" s="87" t="s">
        <v>73</v>
      </c>
      <c r="Q791" s="87"/>
      <c r="R791" s="87"/>
      <c r="S791" s="87"/>
      <c r="T791" s="87"/>
      <c r="U791" s="87"/>
      <c r="V791" s="90" t="str">
        <f>_xlfn.TEXTJOIN(", ",TRUE,$W791:$AB791)</f>
        <v>Distrital</v>
      </c>
      <c r="W791" s="87" t="s">
        <v>73</v>
      </c>
      <c r="X791" s="87"/>
      <c r="Y791" s="87"/>
      <c r="Z791" s="87"/>
      <c r="AA791" s="87"/>
      <c r="AB791" s="87"/>
      <c r="AC791" s="90" t="str">
        <f>_xlfn.TEXTJOIN(", ",TRUE,$AD791:$AM791)</f>
        <v>Distrital</v>
      </c>
      <c r="AD791" s="87" t="s">
        <v>73</v>
      </c>
      <c r="AE791" s="87"/>
      <c r="AF791" s="87"/>
      <c r="AG791" s="87"/>
      <c r="AH791" s="87"/>
      <c r="AI791" s="87"/>
      <c r="AJ791" s="87"/>
      <c r="AK791" s="87"/>
      <c r="AL791" s="87"/>
      <c r="AM791" s="87"/>
      <c r="AN791" s="90" t="s">
        <v>160</v>
      </c>
      <c r="AO791" s="102" t="s">
        <v>2638</v>
      </c>
      <c r="AP791" s="82"/>
      <c r="AQ791" s="87" t="s">
        <v>59</v>
      </c>
      <c r="AR791" s="87" t="s">
        <v>80</v>
      </c>
      <c r="AS791" s="82"/>
      <c r="AT791" s="87">
        <v>10</v>
      </c>
      <c r="AU791" s="87">
        <v>1</v>
      </c>
      <c r="AV791" s="87">
        <f t="shared" si="147"/>
        <v>11</v>
      </c>
      <c r="AW791" s="87" t="str">
        <f t="shared" si="54"/>
        <v>Ninguna</v>
      </c>
      <c r="AX791" s="87" t="s">
        <v>75</v>
      </c>
      <c r="AY791" s="87"/>
      <c r="AZ791" s="87"/>
      <c r="BA791" s="91" t="s">
        <v>3779</v>
      </c>
      <c r="BB791" s="84"/>
      <c r="BC791" s="85"/>
      <c r="BD791" s="85"/>
    </row>
    <row r="792" spans="1:56" s="86" customFormat="1" ht="87" customHeight="1">
      <c r="A792" s="78">
        <v>787</v>
      </c>
      <c r="B792" s="79" t="s">
        <v>3780</v>
      </c>
      <c r="C792" s="88">
        <v>45500</v>
      </c>
      <c r="D792" s="89">
        <v>0.33333333333333331</v>
      </c>
      <c r="E792" s="87" t="s">
        <v>58</v>
      </c>
      <c r="F792" s="87" t="s">
        <v>61</v>
      </c>
      <c r="G792" s="87" t="s">
        <v>62</v>
      </c>
      <c r="H792" s="90" t="s">
        <v>3243</v>
      </c>
      <c r="I792" s="90" t="s">
        <v>128</v>
      </c>
      <c r="J792" s="87" t="s">
        <v>173</v>
      </c>
      <c r="K792" s="87"/>
      <c r="L792" s="90" t="s">
        <v>72</v>
      </c>
      <c r="M792" s="90" t="s">
        <v>72</v>
      </c>
      <c r="N792" s="90" t="s">
        <v>72</v>
      </c>
      <c r="O792" s="90" t="str">
        <f t="shared" si="133"/>
        <v>Usaquén</v>
      </c>
      <c r="P792" s="87" t="s">
        <v>428</v>
      </c>
      <c r="Q792" s="87"/>
      <c r="R792" s="87"/>
      <c r="S792" s="87"/>
      <c r="T792" s="87"/>
      <c r="U792" s="87"/>
      <c r="V792" s="90" t="str">
        <f t="shared" si="137"/>
        <v>Norte</v>
      </c>
      <c r="W792" s="87" t="s">
        <v>429</v>
      </c>
      <c r="X792" s="87"/>
      <c r="Y792" s="87"/>
      <c r="Z792" s="87"/>
      <c r="AA792" s="87"/>
      <c r="AB792" s="87"/>
      <c r="AC792" s="90" t="str">
        <f t="shared" si="138"/>
        <v>Usaquén, Britalia, Torca, Toberín, Niza</v>
      </c>
      <c r="AD792" s="87" t="s">
        <v>428</v>
      </c>
      <c r="AE792" s="87" t="s">
        <v>876</v>
      </c>
      <c r="AF792" s="87" t="s">
        <v>528</v>
      </c>
      <c r="AG792" s="87" t="s">
        <v>527</v>
      </c>
      <c r="AH792" s="87" t="s">
        <v>571</v>
      </c>
      <c r="AI792" s="87"/>
      <c r="AJ792" s="87"/>
      <c r="AK792" s="87"/>
      <c r="AL792" s="87"/>
      <c r="AM792" s="87"/>
      <c r="AN792" s="90" t="s">
        <v>429</v>
      </c>
      <c r="AO792" s="94" t="s">
        <v>3781</v>
      </c>
      <c r="AP792" s="82"/>
      <c r="AQ792" s="87" t="s">
        <v>60</v>
      </c>
      <c r="AR792" s="87" t="s">
        <v>2854</v>
      </c>
      <c r="AS792" s="82"/>
      <c r="AT792" s="87">
        <v>70</v>
      </c>
      <c r="AU792" s="87">
        <v>24</v>
      </c>
      <c r="AV792" s="87">
        <f t="shared" ref="AV792:AV794" si="148">AT792+AU792</f>
        <v>94</v>
      </c>
      <c r="AW792" s="87" t="str">
        <f t="shared" si="54"/>
        <v>Ninguna</v>
      </c>
      <c r="AX792" s="87" t="s">
        <v>75</v>
      </c>
      <c r="AY792" s="87"/>
      <c r="AZ792" s="87"/>
      <c r="BA792" s="91" t="s">
        <v>3782</v>
      </c>
      <c r="BB792" s="84"/>
      <c r="BC792" s="85"/>
      <c r="BD792" s="85"/>
    </row>
    <row r="793" spans="1:56" s="86" customFormat="1" ht="61.5" customHeight="1">
      <c r="A793" s="87">
        <v>788</v>
      </c>
      <c r="B793" s="79" t="s">
        <v>3783</v>
      </c>
      <c r="C793" s="88">
        <v>45500</v>
      </c>
      <c r="D793" s="89">
        <v>0.41666666666666669</v>
      </c>
      <c r="E793" s="87" t="s">
        <v>58</v>
      </c>
      <c r="F793" s="87" t="s">
        <v>1142</v>
      </c>
      <c r="G793" s="87" t="s">
        <v>62</v>
      </c>
      <c r="H793" s="90" t="s">
        <v>3784</v>
      </c>
      <c r="I793" s="90" t="s">
        <v>188</v>
      </c>
      <c r="J793" s="87" t="s">
        <v>119</v>
      </c>
      <c r="K793" s="87" t="s">
        <v>209</v>
      </c>
      <c r="L793" s="90" t="s">
        <v>1144</v>
      </c>
      <c r="M793" s="91" t="s">
        <v>3747</v>
      </c>
      <c r="N793" s="90" t="s">
        <v>1145</v>
      </c>
      <c r="O793" s="90" t="str">
        <f t="shared" si="133"/>
        <v>Distrital</v>
      </c>
      <c r="P793" s="87" t="s">
        <v>73</v>
      </c>
      <c r="Q793" s="87"/>
      <c r="R793" s="87"/>
      <c r="S793" s="87"/>
      <c r="T793" s="87"/>
      <c r="U793" s="87"/>
      <c r="V793" s="90" t="str">
        <f t="shared" si="137"/>
        <v>Distrital</v>
      </c>
      <c r="W793" s="87" t="s">
        <v>73</v>
      </c>
      <c r="X793" s="87"/>
      <c r="Y793" s="87"/>
      <c r="Z793" s="87"/>
      <c r="AA793" s="87"/>
      <c r="AB793" s="87"/>
      <c r="AC793" s="90" t="str">
        <f t="shared" si="138"/>
        <v>Distrital</v>
      </c>
      <c r="AD793" s="87" t="s">
        <v>73</v>
      </c>
      <c r="AE793" s="87"/>
      <c r="AF793" s="87"/>
      <c r="AG793" s="87"/>
      <c r="AH793" s="87"/>
      <c r="AI793" s="87"/>
      <c r="AJ793" s="87"/>
      <c r="AK793" s="87"/>
      <c r="AL793" s="87"/>
      <c r="AM793" s="87"/>
      <c r="AN793" s="90" t="s">
        <v>1746</v>
      </c>
      <c r="AO793" s="90" t="s">
        <v>2853</v>
      </c>
      <c r="AP793" s="82"/>
      <c r="AQ793" s="87" t="s">
        <v>59</v>
      </c>
      <c r="AR793" s="87" t="s">
        <v>80</v>
      </c>
      <c r="AS793" s="82"/>
      <c r="AT793" s="87">
        <v>46</v>
      </c>
      <c r="AU793" s="87">
        <v>9</v>
      </c>
      <c r="AV793" s="87">
        <f t="shared" si="148"/>
        <v>55</v>
      </c>
      <c r="AW793" s="87" t="str">
        <f t="shared" si="54"/>
        <v>Ninguna</v>
      </c>
      <c r="AX793" s="87" t="s">
        <v>75</v>
      </c>
      <c r="AY793" s="87"/>
      <c r="AZ793" s="87"/>
      <c r="BA793" s="91" t="s">
        <v>3785</v>
      </c>
      <c r="BB793" s="84"/>
      <c r="BC793" s="85"/>
      <c r="BD793" s="85"/>
    </row>
    <row r="794" spans="1:56" s="86" customFormat="1" ht="45.75" customHeight="1">
      <c r="A794" s="78">
        <v>789</v>
      </c>
      <c r="B794" s="79" t="s">
        <v>3786</v>
      </c>
      <c r="C794" s="88">
        <v>45500</v>
      </c>
      <c r="D794" s="89">
        <v>0.58333333333333337</v>
      </c>
      <c r="E794" s="87" t="s">
        <v>58</v>
      </c>
      <c r="F794" s="87" t="s">
        <v>2680</v>
      </c>
      <c r="G794" s="87" t="s">
        <v>62</v>
      </c>
      <c r="H794" s="90" t="s">
        <v>3787</v>
      </c>
      <c r="I794" s="90" t="s">
        <v>128</v>
      </c>
      <c r="J794" s="87" t="s">
        <v>119</v>
      </c>
      <c r="K794" s="87" t="s">
        <v>120</v>
      </c>
      <c r="L794" s="90" t="s">
        <v>3788</v>
      </c>
      <c r="M794" s="91" t="s">
        <v>3789</v>
      </c>
      <c r="N794" s="90" t="s">
        <v>72</v>
      </c>
      <c r="O794" s="90" t="str">
        <f t="shared" si="133"/>
        <v>Fontibón</v>
      </c>
      <c r="P794" s="87" t="s">
        <v>420</v>
      </c>
      <c r="Q794" s="87"/>
      <c r="R794" s="87"/>
      <c r="S794" s="87"/>
      <c r="T794" s="87"/>
      <c r="U794" s="87"/>
      <c r="V794" s="90" t="str">
        <f t="shared" si="137"/>
        <v>Occidente</v>
      </c>
      <c r="W794" s="87" t="s">
        <v>124</v>
      </c>
      <c r="X794" s="87"/>
      <c r="Y794" s="87"/>
      <c r="Z794" s="87"/>
      <c r="AA794" s="87"/>
      <c r="AB794" s="87"/>
      <c r="AC794" s="90" t="str">
        <f t="shared" si="138"/>
        <v>Fontibón</v>
      </c>
      <c r="AD794" s="87" t="s">
        <v>420</v>
      </c>
      <c r="AE794" s="87"/>
      <c r="AF794" s="87"/>
      <c r="AG794" s="87"/>
      <c r="AH794" s="87"/>
      <c r="AI794" s="87"/>
      <c r="AJ794" s="87"/>
      <c r="AK794" s="87"/>
      <c r="AL794" s="87"/>
      <c r="AM794" s="87"/>
      <c r="AN794" s="90" t="s">
        <v>3790</v>
      </c>
      <c r="AO794" s="90" t="s">
        <v>3791</v>
      </c>
      <c r="AP794" s="82"/>
      <c r="AQ794" s="87" t="s">
        <v>59</v>
      </c>
      <c r="AR794" s="87" t="s">
        <v>80</v>
      </c>
      <c r="AS794" s="82"/>
      <c r="AT794" s="87">
        <v>2</v>
      </c>
      <c r="AU794" s="87">
        <v>1</v>
      </c>
      <c r="AV794" s="87">
        <f t="shared" si="148"/>
        <v>3</v>
      </c>
      <c r="AW794" s="87" t="str">
        <f t="shared" si="54"/>
        <v>Horarios Acordes</v>
      </c>
      <c r="AX794" s="87" t="s">
        <v>213</v>
      </c>
      <c r="AY794" s="87"/>
      <c r="AZ794" s="87"/>
      <c r="BA794" s="91" t="s">
        <v>3792</v>
      </c>
      <c r="BB794" s="84"/>
      <c r="BC794" s="85"/>
      <c r="BD794" s="85"/>
    </row>
    <row r="795" spans="1:56" s="86" customFormat="1" ht="75" customHeight="1">
      <c r="A795" s="87">
        <v>790</v>
      </c>
      <c r="B795" s="79" t="s">
        <v>3793</v>
      </c>
      <c r="C795" s="88">
        <v>45501</v>
      </c>
      <c r="D795" s="89">
        <v>0.33333333333333331</v>
      </c>
      <c r="E795" s="87" t="s">
        <v>58</v>
      </c>
      <c r="F795" s="87" t="s">
        <v>61</v>
      </c>
      <c r="G795" s="87" t="s">
        <v>62</v>
      </c>
      <c r="H795" s="90" t="s">
        <v>3243</v>
      </c>
      <c r="I795" s="90" t="s">
        <v>128</v>
      </c>
      <c r="J795" s="87" t="s">
        <v>173</v>
      </c>
      <c r="K795" s="87"/>
      <c r="L795" s="90" t="s">
        <v>72</v>
      </c>
      <c r="M795" s="90" t="s">
        <v>72</v>
      </c>
      <c r="N795" s="90" t="s">
        <v>72</v>
      </c>
      <c r="O795" s="90" t="str">
        <f t="shared" si="133"/>
        <v>Rafael Uribe Uribe</v>
      </c>
      <c r="P795" s="87" t="s">
        <v>414</v>
      </c>
      <c r="Q795" s="87"/>
      <c r="R795" s="87"/>
      <c r="S795" s="87"/>
      <c r="T795" s="87"/>
      <c r="U795" s="87"/>
      <c r="V795" s="90" t="str">
        <f t="shared" si="137"/>
        <v>Suroriente</v>
      </c>
      <c r="W795" s="87" t="s">
        <v>108</v>
      </c>
      <c r="X795" s="87"/>
      <c r="Y795" s="87"/>
      <c r="Z795" s="87"/>
      <c r="AA795" s="87"/>
      <c r="AB795" s="87"/>
      <c r="AC795" s="90" t="str">
        <f t="shared" si="138"/>
        <v>San Cristobal, Usme Entrenubes, Rafael Uribe, Tunjuelito, Lucero, Arborizadora</v>
      </c>
      <c r="AD795" s="87" t="s">
        <v>371</v>
      </c>
      <c r="AE795" s="87" t="s">
        <v>671</v>
      </c>
      <c r="AF795" s="87" t="s">
        <v>467</v>
      </c>
      <c r="AG795" s="87" t="s">
        <v>618</v>
      </c>
      <c r="AH795" s="87" t="s">
        <v>111</v>
      </c>
      <c r="AI795" s="87" t="s">
        <v>110</v>
      </c>
      <c r="AJ795" s="87"/>
      <c r="AK795" s="87"/>
      <c r="AL795" s="87"/>
      <c r="AM795" s="87"/>
      <c r="AN795" s="90" t="s">
        <v>108</v>
      </c>
      <c r="AO795" s="90" t="s">
        <v>3794</v>
      </c>
      <c r="AP795" s="82"/>
      <c r="AQ795" s="87" t="s">
        <v>60</v>
      </c>
      <c r="AR795" s="87" t="s">
        <v>2854</v>
      </c>
      <c r="AS795" s="82"/>
      <c r="AT795" s="87">
        <v>59</v>
      </c>
      <c r="AU795" s="87">
        <v>19</v>
      </c>
      <c r="AV795" s="87">
        <f t="shared" ref="AV795:AV796" si="149">AT795+AU795</f>
        <v>78</v>
      </c>
      <c r="AW795" s="87" t="str">
        <f t="shared" si="54"/>
        <v>Ninguna</v>
      </c>
      <c r="AX795" s="87" t="s">
        <v>75</v>
      </c>
      <c r="AY795" s="87"/>
      <c r="AZ795" s="87"/>
      <c r="BA795" s="91" t="s">
        <v>3795</v>
      </c>
      <c r="BB795" s="84"/>
      <c r="BC795" s="85"/>
      <c r="BD795" s="85"/>
    </row>
    <row r="796" spans="1:56" s="86" customFormat="1" ht="75" customHeight="1">
      <c r="A796" s="78">
        <v>791</v>
      </c>
      <c r="B796" s="79" t="s">
        <v>3796</v>
      </c>
      <c r="C796" s="88">
        <v>45502</v>
      </c>
      <c r="D796" s="89">
        <v>0.58333333333333337</v>
      </c>
      <c r="E796" s="87" t="s">
        <v>58</v>
      </c>
      <c r="F796" s="87" t="s">
        <v>2445</v>
      </c>
      <c r="G796" s="87" t="s">
        <v>95</v>
      </c>
      <c r="H796" s="90" t="s">
        <v>3797</v>
      </c>
      <c r="I796" s="90" t="s">
        <v>172</v>
      </c>
      <c r="J796" s="87" t="s">
        <v>3798</v>
      </c>
      <c r="K796" s="87"/>
      <c r="L796" s="90" t="s">
        <v>3799</v>
      </c>
      <c r="M796" s="91" t="s">
        <v>3800</v>
      </c>
      <c r="N796" s="90" t="s">
        <v>3801</v>
      </c>
      <c r="O796" s="90" t="str">
        <f t="shared" si="133"/>
        <v>Distrital</v>
      </c>
      <c r="P796" s="87" t="s">
        <v>73</v>
      </c>
      <c r="Q796" s="87"/>
      <c r="R796" s="87"/>
      <c r="S796" s="87"/>
      <c r="T796" s="87"/>
      <c r="U796" s="87"/>
      <c r="V796" s="90" t="str">
        <f t="shared" si="137"/>
        <v>Distrital</v>
      </c>
      <c r="W796" s="87" t="s">
        <v>73</v>
      </c>
      <c r="X796" s="87"/>
      <c r="Y796" s="87"/>
      <c r="Z796" s="87"/>
      <c r="AA796" s="87"/>
      <c r="AB796" s="87"/>
      <c r="AC796" s="90" t="str">
        <f t="shared" si="138"/>
        <v>Distrital</v>
      </c>
      <c r="AD796" s="87" t="s">
        <v>73</v>
      </c>
      <c r="AE796" s="87"/>
      <c r="AF796" s="87"/>
      <c r="AG796" s="87"/>
      <c r="AH796" s="87"/>
      <c r="AI796" s="87"/>
      <c r="AJ796" s="87"/>
      <c r="AK796" s="87"/>
      <c r="AL796" s="87"/>
      <c r="AM796" s="87"/>
      <c r="AN796" s="90" t="s">
        <v>160</v>
      </c>
      <c r="AO796" s="102" t="s">
        <v>2638</v>
      </c>
      <c r="AP796" s="82"/>
      <c r="AQ796" s="87" t="s">
        <v>59</v>
      </c>
      <c r="AR796" s="87" t="s">
        <v>80</v>
      </c>
      <c r="AS796" s="82"/>
      <c r="AT796" s="87">
        <v>5</v>
      </c>
      <c r="AU796" s="87">
        <v>2</v>
      </c>
      <c r="AV796" s="87">
        <f t="shared" si="149"/>
        <v>7</v>
      </c>
      <c r="AW796" s="87" t="str">
        <f t="shared" si="54"/>
        <v>Ninguna</v>
      </c>
      <c r="AX796" s="87" t="s">
        <v>75</v>
      </c>
      <c r="AY796" s="87"/>
      <c r="AZ796" s="87"/>
      <c r="BA796" s="91" t="s">
        <v>3802</v>
      </c>
      <c r="BB796" s="84"/>
      <c r="BC796" s="85"/>
      <c r="BD796" s="85"/>
    </row>
    <row r="797" spans="1:56" s="86" customFormat="1" ht="75" customHeight="1">
      <c r="A797" s="87">
        <v>792</v>
      </c>
      <c r="B797" s="79" t="s">
        <v>3803</v>
      </c>
      <c r="C797" s="88">
        <v>45502</v>
      </c>
      <c r="D797" s="89">
        <v>0.70833333333333337</v>
      </c>
      <c r="E797" s="87" t="s">
        <v>93</v>
      </c>
      <c r="F797" s="87" t="s">
        <v>102</v>
      </c>
      <c r="G797" s="87" t="s">
        <v>62</v>
      </c>
      <c r="H797" s="90" t="s">
        <v>3804</v>
      </c>
      <c r="I797" s="90" t="s">
        <v>118</v>
      </c>
      <c r="J797" s="87" t="s">
        <v>119</v>
      </c>
      <c r="K797" s="87" t="s">
        <v>129</v>
      </c>
      <c r="L797" s="90" t="s">
        <v>1286</v>
      </c>
      <c r="M797" s="91" t="s">
        <v>3012</v>
      </c>
      <c r="N797" s="90" t="s">
        <v>439</v>
      </c>
      <c r="O797" s="90" t="str">
        <f>_xlfn.TEXTJOIN(", ",TRUE,$P797:$T797)</f>
        <v>Distrital</v>
      </c>
      <c r="P797" s="87" t="s">
        <v>73</v>
      </c>
      <c r="Q797" s="87"/>
      <c r="R797" s="87"/>
      <c r="S797" s="87"/>
      <c r="T797" s="87"/>
      <c r="U797" s="87"/>
      <c r="V797" s="90" t="str">
        <f>_xlfn.TEXTJOIN(", ",TRUE,$W797:$AB797)</f>
        <v>Distrital</v>
      </c>
      <c r="W797" s="87" t="s">
        <v>73</v>
      </c>
      <c r="X797" s="87"/>
      <c r="Y797" s="87"/>
      <c r="Z797" s="87"/>
      <c r="AA797" s="87"/>
      <c r="AB797" s="87"/>
      <c r="AC797" s="90" t="str">
        <f>_xlfn.TEXTJOIN(", ",TRUE,$AD797:$AM797)</f>
        <v>Distrital</v>
      </c>
      <c r="AD797" s="87" t="s">
        <v>73</v>
      </c>
      <c r="AE797" s="87"/>
      <c r="AF797" s="87"/>
      <c r="AG797" s="87"/>
      <c r="AH797" s="87"/>
      <c r="AI797" s="87"/>
      <c r="AJ797" s="87"/>
      <c r="AK797" s="87"/>
      <c r="AL797" s="87"/>
      <c r="AM797" s="87"/>
      <c r="AN797" s="90" t="s">
        <v>160</v>
      </c>
      <c r="AO797" s="90" t="s">
        <v>3805</v>
      </c>
      <c r="AP797" s="82"/>
      <c r="AQ797" s="87" t="s">
        <v>59</v>
      </c>
      <c r="AR797" s="87" t="s">
        <v>80</v>
      </c>
      <c r="AS797" s="82"/>
      <c r="AT797" s="87">
        <v>4</v>
      </c>
      <c r="AU797" s="87">
        <v>4</v>
      </c>
      <c r="AV797" s="87">
        <f>AT797+AU797</f>
        <v>8</v>
      </c>
      <c r="AW797" s="87" t="str">
        <f>_xlfn.TEXTJOIN(", ",TRUE,$AX797:$AZ797)</f>
        <v>Ninguna</v>
      </c>
      <c r="AX797" s="87" t="s">
        <v>75</v>
      </c>
      <c r="AY797" s="87"/>
      <c r="AZ797" s="87"/>
      <c r="BA797" s="91" t="s">
        <v>3806</v>
      </c>
      <c r="BB797" s="84"/>
      <c r="BC797" s="85"/>
      <c r="BD797" s="85"/>
    </row>
    <row r="798" spans="1:56" s="86" customFormat="1" ht="75" customHeight="1">
      <c r="A798" s="78">
        <v>793</v>
      </c>
      <c r="B798" s="79" t="s">
        <v>3807</v>
      </c>
      <c r="C798" s="88">
        <v>45503</v>
      </c>
      <c r="D798" s="89">
        <v>0.45833333333333331</v>
      </c>
      <c r="E798" s="87" t="s">
        <v>93</v>
      </c>
      <c r="F798" s="87" t="s">
        <v>321</v>
      </c>
      <c r="G798" s="87" t="s">
        <v>62</v>
      </c>
      <c r="H798" s="90" t="s">
        <v>3808</v>
      </c>
      <c r="I798" s="90" t="s">
        <v>118</v>
      </c>
      <c r="J798" s="87" t="s">
        <v>70</v>
      </c>
      <c r="K798" s="87" t="s">
        <v>1810</v>
      </c>
      <c r="L798" s="90" t="s">
        <v>484</v>
      </c>
      <c r="M798" s="91" t="s">
        <v>72</v>
      </c>
      <c r="N798" s="90" t="s">
        <v>486</v>
      </c>
      <c r="O798" s="90" t="str">
        <f>_xlfn.TEXTJOIN(", ",TRUE,$P798:$T798)</f>
        <v>Los Mártires</v>
      </c>
      <c r="P798" s="87" t="s">
        <v>542</v>
      </c>
      <c r="Q798" s="87"/>
      <c r="R798" s="87"/>
      <c r="S798" s="87"/>
      <c r="T798" s="87"/>
      <c r="U798" s="87"/>
      <c r="V798" s="90" t="str">
        <f>_xlfn.TEXTJOIN(", ",TRUE,$W798:$AB798)</f>
        <v>Centro Ampliado</v>
      </c>
      <c r="W798" s="87" t="s">
        <v>415</v>
      </c>
      <c r="X798" s="87"/>
      <c r="Y798" s="87"/>
      <c r="Z798" s="87"/>
      <c r="AA798" s="87"/>
      <c r="AB798" s="87"/>
      <c r="AC798" s="90" t="str">
        <f>_xlfn.TEXTJOIN(", ",TRUE,$AD798:$AM798)</f>
        <v>Centro Histórico</v>
      </c>
      <c r="AD798" s="87" t="s">
        <v>488</v>
      </c>
      <c r="AE798" s="87"/>
      <c r="AF798" s="87"/>
      <c r="AG798" s="87"/>
      <c r="AH798" s="87"/>
      <c r="AI798" s="87"/>
      <c r="AJ798" s="87"/>
      <c r="AK798" s="87"/>
      <c r="AL798" s="87"/>
      <c r="AM798" s="87"/>
      <c r="AN798" s="90" t="s">
        <v>2339</v>
      </c>
      <c r="AO798" s="90" t="s">
        <v>3809</v>
      </c>
      <c r="AP798" s="82"/>
      <c r="AQ798" s="87" t="s">
        <v>59</v>
      </c>
      <c r="AR798" s="87" t="s">
        <v>80</v>
      </c>
      <c r="AS798" s="82"/>
      <c r="AT798" s="87">
        <v>14</v>
      </c>
      <c r="AU798" s="87">
        <v>1</v>
      </c>
      <c r="AV798" s="87">
        <f>AT798+AU798</f>
        <v>15</v>
      </c>
      <c r="AW798" s="87" t="str">
        <f>_xlfn.TEXTJOIN(", ",TRUE,$AX798:$AZ798)</f>
        <v>Ninguna</v>
      </c>
      <c r="AX798" s="87" t="s">
        <v>75</v>
      </c>
      <c r="AY798" s="87"/>
      <c r="AZ798" s="87"/>
      <c r="BA798" s="91" t="s">
        <v>3810</v>
      </c>
      <c r="BB798" s="84"/>
      <c r="BC798" s="85"/>
      <c r="BD798" s="85"/>
    </row>
    <row r="799" spans="1:56" s="86" customFormat="1" ht="47.25" customHeight="1">
      <c r="A799" s="87">
        <v>794</v>
      </c>
      <c r="B799" s="79" t="s">
        <v>437</v>
      </c>
      <c r="C799" s="88">
        <v>45503</v>
      </c>
      <c r="D799" s="89">
        <v>0.70833333333333337</v>
      </c>
      <c r="E799" s="87" t="s">
        <v>93</v>
      </c>
      <c r="F799" s="87" t="s">
        <v>102</v>
      </c>
      <c r="G799" s="87" t="s">
        <v>95</v>
      </c>
      <c r="H799" s="90" t="s">
        <v>3811</v>
      </c>
      <c r="I799" s="90" t="s">
        <v>118</v>
      </c>
      <c r="J799" s="87" t="s">
        <v>119</v>
      </c>
      <c r="K799" s="87" t="s">
        <v>129</v>
      </c>
      <c r="L799" s="90" t="s">
        <v>1286</v>
      </c>
      <c r="M799" s="91" t="s">
        <v>3012</v>
      </c>
      <c r="N799" s="90" t="s">
        <v>439</v>
      </c>
      <c r="O799" s="90" t="str">
        <f t="shared" si="133"/>
        <v>Distrital</v>
      </c>
      <c r="P799" s="87" t="s">
        <v>73</v>
      </c>
      <c r="Q799" s="87"/>
      <c r="R799" s="87"/>
      <c r="S799" s="87"/>
      <c r="T799" s="87"/>
      <c r="U799" s="87"/>
      <c r="V799" s="90" t="str">
        <f>_xlfn.TEXTJOIN(", ",TRUE,$W799:$AB799)</f>
        <v>Distrital</v>
      </c>
      <c r="W799" s="87" t="s">
        <v>73</v>
      </c>
      <c r="X799" s="87"/>
      <c r="Y799" s="87"/>
      <c r="Z799" s="87"/>
      <c r="AA799" s="87"/>
      <c r="AB799" s="87"/>
      <c r="AC799" s="90" t="str">
        <f>_xlfn.TEXTJOIN(", ",TRUE,$AD799:$AM799)</f>
        <v>Distrital</v>
      </c>
      <c r="AD799" s="87" t="s">
        <v>73</v>
      </c>
      <c r="AE799" s="87"/>
      <c r="AF799" s="87"/>
      <c r="AG799" s="87"/>
      <c r="AH799" s="87"/>
      <c r="AI799" s="87"/>
      <c r="AJ799" s="87"/>
      <c r="AK799" s="87"/>
      <c r="AL799" s="87"/>
      <c r="AM799" s="87"/>
      <c r="AN799" s="90" t="s">
        <v>80</v>
      </c>
      <c r="AO799" s="102" t="s">
        <v>2638</v>
      </c>
      <c r="AP799" s="82"/>
      <c r="AQ799" s="87" t="s">
        <v>59</v>
      </c>
      <c r="AR799" s="87" t="s">
        <v>80</v>
      </c>
      <c r="AS799" s="82"/>
      <c r="AT799" s="87">
        <v>73</v>
      </c>
      <c r="AU799" s="87">
        <v>2</v>
      </c>
      <c r="AV799" s="87">
        <f t="shared" ref="AV799:AV840" si="150">AT799+AU799</f>
        <v>75</v>
      </c>
      <c r="AW799" s="87" t="str">
        <f t="shared" si="54"/>
        <v>Ninguna</v>
      </c>
      <c r="AX799" s="87" t="s">
        <v>75</v>
      </c>
      <c r="AY799" s="87"/>
      <c r="AZ799" s="87"/>
      <c r="BA799" s="91" t="s">
        <v>3812</v>
      </c>
      <c r="BB799" s="84"/>
      <c r="BC799" s="85"/>
      <c r="BD799" s="85"/>
    </row>
    <row r="800" spans="1:56" s="86" customFormat="1" ht="47.25" customHeight="1">
      <c r="A800" s="78">
        <v>795</v>
      </c>
      <c r="B800" s="79" t="s">
        <v>3813</v>
      </c>
      <c r="C800" s="88">
        <v>45504</v>
      </c>
      <c r="D800" s="89">
        <v>0.375</v>
      </c>
      <c r="E800" s="87" t="s">
        <v>58</v>
      </c>
      <c r="F800" s="87" t="s">
        <v>2680</v>
      </c>
      <c r="G800" s="87" t="s">
        <v>62</v>
      </c>
      <c r="H800" s="90" t="s">
        <v>3814</v>
      </c>
      <c r="I800" s="90" t="s">
        <v>128</v>
      </c>
      <c r="J800" s="87" t="s">
        <v>119</v>
      </c>
      <c r="K800" s="87" t="s">
        <v>120</v>
      </c>
      <c r="L800" s="90" t="s">
        <v>72</v>
      </c>
      <c r="M800" s="90" t="s">
        <v>72</v>
      </c>
      <c r="N800" s="90" t="s">
        <v>72</v>
      </c>
      <c r="O800" s="90" t="str">
        <f t="shared" si="133"/>
        <v>Engativá</v>
      </c>
      <c r="P800" s="87" t="s">
        <v>123</v>
      </c>
      <c r="Q800" s="87"/>
      <c r="R800" s="87"/>
      <c r="S800" s="87"/>
      <c r="T800" s="87"/>
      <c r="U800" s="87"/>
      <c r="V800" s="90" t="str">
        <f t="shared" si="137"/>
        <v>Occidente</v>
      </c>
      <c r="W800" s="87" t="s">
        <v>124</v>
      </c>
      <c r="X800" s="87"/>
      <c r="Y800" s="87"/>
      <c r="Z800" s="87"/>
      <c r="AA800" s="87"/>
      <c r="AB800" s="87"/>
      <c r="AC800" s="90" t="str">
        <f t="shared" si="138"/>
        <v>Engativá</v>
      </c>
      <c r="AD800" s="87" t="s">
        <v>123</v>
      </c>
      <c r="AE800" s="87"/>
      <c r="AF800" s="87"/>
      <c r="AG800" s="87"/>
      <c r="AH800" s="87"/>
      <c r="AI800" s="87"/>
      <c r="AJ800" s="87"/>
      <c r="AK800" s="87"/>
      <c r="AL800" s="87"/>
      <c r="AM800" s="87"/>
      <c r="AN800" s="90" t="s">
        <v>3815</v>
      </c>
      <c r="AO800" s="90" t="s">
        <v>3816</v>
      </c>
      <c r="AP800" s="82"/>
      <c r="AQ800" s="87" t="s">
        <v>59</v>
      </c>
      <c r="AR800" s="87" t="s">
        <v>80</v>
      </c>
      <c r="AS800" s="82"/>
      <c r="AT800" s="87">
        <v>4</v>
      </c>
      <c r="AU800" s="87">
        <v>1</v>
      </c>
      <c r="AV800" s="87">
        <f t="shared" si="150"/>
        <v>5</v>
      </c>
      <c r="AW800" s="87" t="str">
        <f t="shared" si="54"/>
        <v>Ninguna</v>
      </c>
      <c r="AX800" s="87" t="s">
        <v>75</v>
      </c>
      <c r="AY800" s="87"/>
      <c r="AZ800" s="87"/>
      <c r="BA800" s="91" t="s">
        <v>3817</v>
      </c>
      <c r="BB800" s="84"/>
      <c r="BC800" s="85"/>
      <c r="BD800" s="85"/>
    </row>
    <row r="801" spans="1:56" s="86" customFormat="1" ht="47.25" customHeight="1">
      <c r="A801" s="87">
        <v>796</v>
      </c>
      <c r="B801" s="79" t="s">
        <v>3818</v>
      </c>
      <c r="C801" s="88">
        <v>45505</v>
      </c>
      <c r="D801" s="89" t="s">
        <v>3819</v>
      </c>
      <c r="E801" s="87" t="s">
        <v>58</v>
      </c>
      <c r="F801" s="87" t="s">
        <v>149</v>
      </c>
      <c r="G801" s="87" t="s">
        <v>62</v>
      </c>
      <c r="H801" s="90" t="s">
        <v>3820</v>
      </c>
      <c r="I801" s="90" t="s">
        <v>64</v>
      </c>
      <c r="J801" s="87" t="s">
        <v>173</v>
      </c>
      <c r="K801" s="87"/>
      <c r="L801" s="90" t="s">
        <v>80</v>
      </c>
      <c r="M801" s="90" t="s">
        <v>80</v>
      </c>
      <c r="N801" s="90" t="s">
        <v>80</v>
      </c>
      <c r="O801" s="90" t="str">
        <f t="shared" si="133"/>
        <v>Distrital</v>
      </c>
      <c r="P801" s="87" t="s">
        <v>73</v>
      </c>
      <c r="Q801" s="87"/>
      <c r="R801" s="87"/>
      <c r="S801" s="87"/>
      <c r="T801" s="87"/>
      <c r="U801" s="87"/>
      <c r="V801" s="90" t="str">
        <f t="shared" si="137"/>
        <v>Distrital</v>
      </c>
      <c r="W801" s="87" t="s">
        <v>73</v>
      </c>
      <c r="X801" s="87"/>
      <c r="Y801" s="87"/>
      <c r="Z801" s="87"/>
      <c r="AA801" s="87"/>
      <c r="AB801" s="87"/>
      <c r="AC801" s="90" t="str">
        <f t="shared" si="138"/>
        <v>Distrital</v>
      </c>
      <c r="AD801" s="87" t="s">
        <v>73</v>
      </c>
      <c r="AE801" s="87"/>
      <c r="AF801" s="87"/>
      <c r="AG801" s="87"/>
      <c r="AH801" s="87"/>
      <c r="AI801" s="87"/>
      <c r="AJ801" s="87"/>
      <c r="AK801" s="87"/>
      <c r="AL801" s="87"/>
      <c r="AM801" s="87"/>
      <c r="AN801" s="90" t="s">
        <v>80</v>
      </c>
      <c r="AO801" s="90" t="s">
        <v>3821</v>
      </c>
      <c r="AP801" s="82"/>
      <c r="AQ801" s="87" t="s">
        <v>59</v>
      </c>
      <c r="AR801" s="87" t="s">
        <v>80</v>
      </c>
      <c r="AS801" s="82"/>
      <c r="AT801" s="87">
        <v>3</v>
      </c>
      <c r="AU801" s="87">
        <v>2</v>
      </c>
      <c r="AV801" s="87">
        <f t="shared" si="150"/>
        <v>5</v>
      </c>
      <c r="AW801" s="87" t="str">
        <f t="shared" si="54"/>
        <v>Ninguna</v>
      </c>
      <c r="AX801" s="87" t="s">
        <v>75</v>
      </c>
      <c r="AY801" s="87"/>
      <c r="AZ801" s="87"/>
      <c r="BA801" s="91" t="s">
        <v>3822</v>
      </c>
      <c r="BB801" s="84"/>
      <c r="BC801" s="85"/>
      <c r="BD801" s="85"/>
    </row>
    <row r="802" spans="1:56" s="86" customFormat="1" ht="47.25" customHeight="1">
      <c r="A802" s="78">
        <v>797</v>
      </c>
      <c r="B802" s="79" t="s">
        <v>3823</v>
      </c>
      <c r="C802" s="88">
        <v>45505</v>
      </c>
      <c r="D802" s="89">
        <v>0.625</v>
      </c>
      <c r="E802" s="87" t="s">
        <v>562</v>
      </c>
      <c r="F802" s="87" t="s">
        <v>1472</v>
      </c>
      <c r="G802" s="87" t="s">
        <v>62</v>
      </c>
      <c r="H802" s="90" t="s">
        <v>3824</v>
      </c>
      <c r="I802" s="90" t="s">
        <v>128</v>
      </c>
      <c r="J802" s="87" t="s">
        <v>173</v>
      </c>
      <c r="K802" s="87"/>
      <c r="L802" s="90" t="s">
        <v>444</v>
      </c>
      <c r="M802" s="90" t="s">
        <v>856</v>
      </c>
      <c r="N802" s="90" t="s">
        <v>857</v>
      </c>
      <c r="O802" s="90" t="str">
        <f>_xlfn.TEXTJOIN(", ",TRUE,$P802:$T802)</f>
        <v>Teusaquillo</v>
      </c>
      <c r="P802" s="87" t="s">
        <v>665</v>
      </c>
      <c r="Q802" s="87"/>
      <c r="R802" s="87"/>
      <c r="S802" s="87"/>
      <c r="T802" s="87"/>
      <c r="U802" s="87"/>
      <c r="V802" s="90" t="str">
        <f>_xlfn.TEXTJOIN(", ",TRUE,$W802:$AB802)</f>
        <v>Centro Ampliado</v>
      </c>
      <c r="W802" s="87" t="s">
        <v>415</v>
      </c>
      <c r="X802" s="87"/>
      <c r="Y802" s="87"/>
      <c r="Z802" s="87"/>
      <c r="AA802" s="87"/>
      <c r="AB802" s="87"/>
      <c r="AC802" s="90" t="str">
        <f>_xlfn.TEXTJOIN(", ",TRUE,$AD802:$AM802)</f>
        <v>Teusaquillo</v>
      </c>
      <c r="AD802" s="87" t="s">
        <v>665</v>
      </c>
      <c r="AE802" s="87"/>
      <c r="AF802" s="87"/>
      <c r="AG802" s="87"/>
      <c r="AH802" s="87"/>
      <c r="AI802" s="87"/>
      <c r="AJ802" s="87"/>
      <c r="AK802" s="87"/>
      <c r="AL802" s="87"/>
      <c r="AM802" s="87"/>
      <c r="AN802" s="90" t="s">
        <v>665</v>
      </c>
      <c r="AO802" s="90" t="s">
        <v>3825</v>
      </c>
      <c r="AP802" s="82"/>
      <c r="AQ802" s="87" t="s">
        <v>60</v>
      </c>
      <c r="AR802" s="87" t="s">
        <v>2854</v>
      </c>
      <c r="AS802" s="82"/>
      <c r="AT802" s="87">
        <v>17</v>
      </c>
      <c r="AU802" s="87">
        <v>4</v>
      </c>
      <c r="AV802" s="87">
        <f t="shared" si="150"/>
        <v>21</v>
      </c>
      <c r="AW802" s="87" t="str">
        <f t="shared" si="54"/>
        <v>Ninguna</v>
      </c>
      <c r="AX802" s="87" t="s">
        <v>75</v>
      </c>
      <c r="AY802" s="87"/>
      <c r="AZ802" s="87"/>
      <c r="BA802" s="91" t="s">
        <v>3826</v>
      </c>
      <c r="BB802" s="84"/>
      <c r="BC802" s="85"/>
      <c r="BD802" s="85"/>
    </row>
    <row r="803" spans="1:56" s="86" customFormat="1" ht="47.25" customHeight="1">
      <c r="A803" s="87">
        <v>798</v>
      </c>
      <c r="B803" s="79" t="s">
        <v>3827</v>
      </c>
      <c r="C803" s="88">
        <v>45506</v>
      </c>
      <c r="D803" s="89">
        <v>0.58333333333333337</v>
      </c>
      <c r="E803" s="87" t="s">
        <v>58</v>
      </c>
      <c r="F803" s="87" t="s">
        <v>116</v>
      </c>
      <c r="G803" s="87" t="s">
        <v>62</v>
      </c>
      <c r="H803" s="90" t="s">
        <v>3828</v>
      </c>
      <c r="I803" s="90" t="s">
        <v>128</v>
      </c>
      <c r="J803" s="87" t="s">
        <v>119</v>
      </c>
      <c r="K803" s="87" t="s">
        <v>1322</v>
      </c>
      <c r="L803" s="90" t="s">
        <v>1384</v>
      </c>
      <c r="M803" s="90" t="s">
        <v>2698</v>
      </c>
      <c r="N803" s="90" t="s">
        <v>72</v>
      </c>
      <c r="O803" s="90" t="str">
        <f>_xlfn.TEXTJOIN(", ",TRUE,$P803:$T803)</f>
        <v>Fontibón, Engativá</v>
      </c>
      <c r="P803" s="87" t="s">
        <v>420</v>
      </c>
      <c r="Q803" s="87" t="s">
        <v>123</v>
      </c>
      <c r="R803" s="87"/>
      <c r="S803" s="87"/>
      <c r="T803" s="87"/>
      <c r="U803" s="87"/>
      <c r="V803" s="90" t="str">
        <f>_xlfn.TEXTJOIN(", ",TRUE,$W803:$AB803)</f>
        <v>Occidente</v>
      </c>
      <c r="W803" s="87" t="s">
        <v>124</v>
      </c>
      <c r="X803" s="87"/>
      <c r="Y803" s="87"/>
      <c r="Z803" s="87"/>
      <c r="AA803" s="87"/>
      <c r="AB803" s="87"/>
      <c r="AC803" s="90" t="str">
        <f>_xlfn.TEXTJOIN(", ",TRUE,$AD803:$AM803)</f>
        <v>Fontibón</v>
      </c>
      <c r="AD803" s="87" t="s">
        <v>420</v>
      </c>
      <c r="AE803" s="87"/>
      <c r="AF803" s="87"/>
      <c r="AG803" s="87"/>
      <c r="AH803" s="87"/>
      <c r="AI803" s="87"/>
      <c r="AJ803" s="87"/>
      <c r="AK803" s="87"/>
      <c r="AL803" s="87"/>
      <c r="AM803" s="87"/>
      <c r="AN803" s="90" t="s">
        <v>420</v>
      </c>
      <c r="AO803" s="90" t="s">
        <v>3829</v>
      </c>
      <c r="AP803" s="82"/>
      <c r="AQ803" s="87" t="s">
        <v>59</v>
      </c>
      <c r="AR803" s="87" t="s">
        <v>80</v>
      </c>
      <c r="AS803" s="82"/>
      <c r="AT803" s="87">
        <v>5</v>
      </c>
      <c r="AU803" s="87">
        <v>5</v>
      </c>
      <c r="AV803" s="87">
        <f t="shared" si="150"/>
        <v>10</v>
      </c>
      <c r="AW803" s="87" t="str">
        <f t="shared" si="54"/>
        <v>Horarios Acordes</v>
      </c>
      <c r="AX803" s="87" t="s">
        <v>213</v>
      </c>
      <c r="AY803" s="87"/>
      <c r="AZ803" s="87"/>
      <c r="BA803" s="91" t="s">
        <v>3830</v>
      </c>
      <c r="BB803" s="84"/>
      <c r="BC803" s="85"/>
      <c r="BD803" s="85"/>
    </row>
    <row r="804" spans="1:56" s="86" customFormat="1" ht="40.5" customHeight="1">
      <c r="A804" s="78">
        <v>799</v>
      </c>
      <c r="B804" s="79" t="s">
        <v>3831</v>
      </c>
      <c r="C804" s="88">
        <v>45508</v>
      </c>
      <c r="D804" s="89">
        <v>0.33333333333333331</v>
      </c>
      <c r="E804" s="87" t="s">
        <v>58</v>
      </c>
      <c r="F804" s="87" t="s">
        <v>3832</v>
      </c>
      <c r="G804" s="87" t="s">
        <v>62</v>
      </c>
      <c r="H804" s="90" t="s">
        <v>3833</v>
      </c>
      <c r="I804" s="90" t="s">
        <v>128</v>
      </c>
      <c r="J804" s="87" t="s">
        <v>816</v>
      </c>
      <c r="K804" s="87"/>
      <c r="L804" s="90" t="s">
        <v>3834</v>
      </c>
      <c r="M804" s="91">
        <v>3046010799</v>
      </c>
      <c r="N804" s="102" t="s">
        <v>3835</v>
      </c>
      <c r="O804" s="90" t="str">
        <f t="shared" si="133"/>
        <v>Ciudad Bolívar, Tunjuelito</v>
      </c>
      <c r="P804" s="87" t="s">
        <v>107</v>
      </c>
      <c r="Q804" s="87" t="s">
        <v>618</v>
      </c>
      <c r="R804" s="87"/>
      <c r="S804" s="87"/>
      <c r="T804" s="87"/>
      <c r="U804" s="87"/>
      <c r="V804" s="90" t="str">
        <f t="shared" si="137"/>
        <v>Suroriente</v>
      </c>
      <c r="W804" s="87" t="s">
        <v>108</v>
      </c>
      <c r="X804" s="87"/>
      <c r="Y804" s="87"/>
      <c r="Z804" s="87"/>
      <c r="AA804" s="87"/>
      <c r="AB804" s="87"/>
      <c r="AC804" s="90" t="str">
        <f>_xlfn.TEXTJOIN(", ",TRUE,$AD804:$AM804)</f>
        <v>Arborizadora</v>
      </c>
      <c r="AD804" s="87" t="s">
        <v>110</v>
      </c>
      <c r="AE804" s="87"/>
      <c r="AF804" s="87"/>
      <c r="AG804" s="87"/>
      <c r="AH804" s="87"/>
      <c r="AI804" s="87"/>
      <c r="AJ804" s="87"/>
      <c r="AK804" s="87"/>
      <c r="AL804" s="87"/>
      <c r="AM804" s="87"/>
      <c r="AN804" s="90" t="s">
        <v>110</v>
      </c>
      <c r="AO804" s="90" t="s">
        <v>78</v>
      </c>
      <c r="AP804" s="82"/>
      <c r="AQ804" s="87" t="s">
        <v>59</v>
      </c>
      <c r="AR804" s="87" t="s">
        <v>80</v>
      </c>
      <c r="AS804" s="82"/>
      <c r="AT804" s="87">
        <v>0</v>
      </c>
      <c r="AU804" s="87">
        <v>1</v>
      </c>
      <c r="AV804" s="87">
        <f t="shared" si="150"/>
        <v>1</v>
      </c>
      <c r="AW804" s="87" t="str">
        <f t="shared" si="54"/>
        <v>Ninguna</v>
      </c>
      <c r="AX804" s="87" t="s">
        <v>75</v>
      </c>
      <c r="AY804" s="87"/>
      <c r="AZ804" s="87"/>
      <c r="BA804" s="91" t="s">
        <v>3836</v>
      </c>
      <c r="BB804" s="84"/>
      <c r="BC804" s="85"/>
      <c r="BD804" s="85"/>
    </row>
    <row r="805" spans="1:56" s="86" customFormat="1" ht="40.5" customHeight="1">
      <c r="A805" s="87">
        <v>800</v>
      </c>
      <c r="B805" s="79" t="s">
        <v>3837</v>
      </c>
      <c r="C805" s="88">
        <v>45508</v>
      </c>
      <c r="D805" s="89">
        <v>0.33333333333333331</v>
      </c>
      <c r="E805" s="87" t="s">
        <v>58</v>
      </c>
      <c r="F805" s="87" t="s">
        <v>3832</v>
      </c>
      <c r="G805" s="87" t="s">
        <v>62</v>
      </c>
      <c r="H805" s="90" t="s">
        <v>3833</v>
      </c>
      <c r="I805" s="90" t="s">
        <v>128</v>
      </c>
      <c r="J805" s="87" t="s">
        <v>816</v>
      </c>
      <c r="K805" s="87"/>
      <c r="L805" s="90" t="s">
        <v>3834</v>
      </c>
      <c r="M805" s="91">
        <v>3046010799</v>
      </c>
      <c r="N805" s="102" t="s">
        <v>3835</v>
      </c>
      <c r="O805" s="90" t="str">
        <f t="shared" si="133"/>
        <v>Ciudad Bolívar</v>
      </c>
      <c r="P805" s="87" t="s">
        <v>107</v>
      </c>
      <c r="Q805" s="87"/>
      <c r="R805" s="87"/>
      <c r="S805" s="87"/>
      <c r="T805" s="87"/>
      <c r="U805" s="87"/>
      <c r="V805" s="90" t="str">
        <f t="shared" si="137"/>
        <v>Suroriente</v>
      </c>
      <c r="W805" s="87" t="s">
        <v>108</v>
      </c>
      <c r="X805" s="87"/>
      <c r="Y805" s="87"/>
      <c r="Z805" s="87"/>
      <c r="AA805" s="87"/>
      <c r="AB805" s="87"/>
      <c r="AC805" s="90" t="str">
        <f>_xlfn.TEXTJOIN(", ",TRUE,$AD805:$AM805)</f>
        <v>Lucero</v>
      </c>
      <c r="AD805" s="87" t="s">
        <v>111</v>
      </c>
      <c r="AE805" s="87"/>
      <c r="AF805" s="87"/>
      <c r="AG805" s="87"/>
      <c r="AH805" s="87"/>
      <c r="AI805" s="87"/>
      <c r="AJ805" s="87"/>
      <c r="AK805" s="87"/>
      <c r="AL805" s="87"/>
      <c r="AM805" s="87"/>
      <c r="AN805" s="90" t="s">
        <v>111</v>
      </c>
      <c r="AO805" s="90" t="s">
        <v>80</v>
      </c>
      <c r="AP805" s="82"/>
      <c r="AQ805" s="87" t="s">
        <v>59</v>
      </c>
      <c r="AR805" s="87" t="s">
        <v>80</v>
      </c>
      <c r="AS805" s="82"/>
      <c r="AT805" s="87">
        <v>4</v>
      </c>
      <c r="AU805" s="87">
        <v>1</v>
      </c>
      <c r="AV805" s="87">
        <f t="shared" si="150"/>
        <v>5</v>
      </c>
      <c r="AW805" s="87" t="str">
        <f t="shared" si="54"/>
        <v>Ninguna</v>
      </c>
      <c r="AX805" s="87" t="s">
        <v>75</v>
      </c>
      <c r="AY805" s="87"/>
      <c r="AZ805" s="87"/>
      <c r="BA805" s="91" t="s">
        <v>3836</v>
      </c>
      <c r="BB805" s="84"/>
      <c r="BC805" s="85"/>
      <c r="BD805" s="85"/>
    </row>
    <row r="806" spans="1:56" s="86" customFormat="1" ht="40.5" customHeight="1">
      <c r="A806" s="78">
        <v>801</v>
      </c>
      <c r="B806" s="79" t="s">
        <v>3838</v>
      </c>
      <c r="C806" s="88">
        <v>45508</v>
      </c>
      <c r="D806" s="89">
        <v>0.33333333333333331</v>
      </c>
      <c r="E806" s="87" t="s">
        <v>58</v>
      </c>
      <c r="F806" s="87" t="s">
        <v>3832</v>
      </c>
      <c r="G806" s="87" t="s">
        <v>62</v>
      </c>
      <c r="H806" s="90" t="s">
        <v>3833</v>
      </c>
      <c r="I806" s="90" t="s">
        <v>128</v>
      </c>
      <c r="J806" s="87" t="s">
        <v>816</v>
      </c>
      <c r="K806" s="87"/>
      <c r="L806" s="90" t="s">
        <v>3834</v>
      </c>
      <c r="M806" s="91">
        <v>3046010799</v>
      </c>
      <c r="N806" s="102" t="s">
        <v>3835</v>
      </c>
      <c r="O806" s="90" t="str">
        <f t="shared" si="133"/>
        <v>Usme</v>
      </c>
      <c r="P806" s="87" t="s">
        <v>670</v>
      </c>
      <c r="Q806" s="87"/>
      <c r="R806" s="87"/>
      <c r="S806" s="87"/>
      <c r="T806" s="87"/>
      <c r="U806" s="87"/>
      <c r="V806" s="90" t="str">
        <f t="shared" si="137"/>
        <v>Suroriente</v>
      </c>
      <c r="W806" s="87" t="s">
        <v>108</v>
      </c>
      <c r="X806" s="87"/>
      <c r="Y806" s="87"/>
      <c r="Z806" s="87"/>
      <c r="AA806" s="87"/>
      <c r="AB806" s="87"/>
      <c r="AC806" s="90" t="s">
        <v>671</v>
      </c>
      <c r="AD806" s="87" t="s">
        <v>671</v>
      </c>
      <c r="AE806" s="87"/>
      <c r="AF806" s="87"/>
      <c r="AG806" s="87"/>
      <c r="AH806" s="87"/>
      <c r="AI806" s="87"/>
      <c r="AJ806" s="87"/>
      <c r="AK806" s="87"/>
      <c r="AL806" s="87"/>
      <c r="AM806" s="87"/>
      <c r="AN806" s="90" t="s">
        <v>670</v>
      </c>
      <c r="AO806" s="90" t="s">
        <v>80</v>
      </c>
      <c r="AP806" s="82"/>
      <c r="AQ806" s="87" t="s">
        <v>59</v>
      </c>
      <c r="AR806" s="87" t="s">
        <v>80</v>
      </c>
      <c r="AS806" s="82"/>
      <c r="AT806" s="87">
        <v>4</v>
      </c>
      <c r="AU806" s="87">
        <v>1</v>
      </c>
      <c r="AV806" s="87">
        <f t="shared" si="150"/>
        <v>5</v>
      </c>
      <c r="AW806" s="87" t="str">
        <f t="shared" si="54"/>
        <v>Ninguna</v>
      </c>
      <c r="AX806" s="87" t="s">
        <v>75</v>
      </c>
      <c r="AY806" s="87"/>
      <c r="AZ806" s="87"/>
      <c r="BA806" s="91" t="s">
        <v>3836</v>
      </c>
      <c r="BB806" s="84"/>
      <c r="BC806" s="85"/>
      <c r="BD806" s="85"/>
    </row>
    <row r="807" spans="1:56" s="86" customFormat="1" ht="40.5" customHeight="1">
      <c r="A807" s="87">
        <v>802</v>
      </c>
      <c r="B807" s="79" t="s">
        <v>3839</v>
      </c>
      <c r="C807" s="88">
        <v>45508</v>
      </c>
      <c r="D807" s="89">
        <v>0.33333333333333331</v>
      </c>
      <c r="E807" s="87" t="s">
        <v>58</v>
      </c>
      <c r="F807" s="87" t="s">
        <v>3832</v>
      </c>
      <c r="G807" s="87" t="s">
        <v>62</v>
      </c>
      <c r="H807" s="90" t="s">
        <v>3833</v>
      </c>
      <c r="I807" s="90" t="s">
        <v>128</v>
      </c>
      <c r="J807" s="87" t="s">
        <v>816</v>
      </c>
      <c r="K807" s="87"/>
      <c r="L807" s="90" t="s">
        <v>3834</v>
      </c>
      <c r="M807" s="91">
        <v>3046010799</v>
      </c>
      <c r="N807" s="102" t="s">
        <v>3835</v>
      </c>
      <c r="O807" s="90" t="str">
        <f t="shared" si="133"/>
        <v>Suba, Usaquén</v>
      </c>
      <c r="P807" s="87" t="s">
        <v>394</v>
      </c>
      <c r="Q807" s="87" t="s">
        <v>428</v>
      </c>
      <c r="R807" s="87"/>
      <c r="S807" s="87"/>
      <c r="T807" s="87"/>
      <c r="U807" s="87"/>
      <c r="V807" s="90" t="str">
        <f t="shared" si="137"/>
        <v>Norte</v>
      </c>
      <c r="W807" s="87" t="s">
        <v>429</v>
      </c>
      <c r="X807" s="87"/>
      <c r="Y807" s="87"/>
      <c r="Z807" s="87"/>
      <c r="AA807" s="87"/>
      <c r="AB807" s="87"/>
      <c r="AC807" s="90" t="str">
        <f t="shared" si="138"/>
        <v>Torca</v>
      </c>
      <c r="AD807" s="87" t="s">
        <v>528</v>
      </c>
      <c r="AE807" s="87"/>
      <c r="AF807" s="87"/>
      <c r="AG807" s="87"/>
      <c r="AH807" s="87"/>
      <c r="AI807" s="87"/>
      <c r="AJ807" s="87"/>
      <c r="AK807" s="87"/>
      <c r="AL807" s="87"/>
      <c r="AM807" s="87"/>
      <c r="AN807" s="90" t="s">
        <v>528</v>
      </c>
      <c r="AO807" s="90" t="s">
        <v>80</v>
      </c>
      <c r="AP807" s="82"/>
      <c r="AQ807" s="87" t="s">
        <v>59</v>
      </c>
      <c r="AR807" s="87" t="s">
        <v>80</v>
      </c>
      <c r="AS807" s="82"/>
      <c r="AT807" s="87">
        <v>0</v>
      </c>
      <c r="AU807" s="87">
        <v>1</v>
      </c>
      <c r="AV807" s="87">
        <f t="shared" si="150"/>
        <v>1</v>
      </c>
      <c r="AW807" s="87" t="str">
        <f t="shared" si="54"/>
        <v>Ninguna</v>
      </c>
      <c r="AX807" s="87" t="s">
        <v>75</v>
      </c>
      <c r="AY807" s="87"/>
      <c r="AZ807" s="87"/>
      <c r="BA807" s="91" t="s">
        <v>3836</v>
      </c>
      <c r="BB807" s="84"/>
      <c r="BC807" s="85"/>
      <c r="BD807" s="85"/>
    </row>
    <row r="808" spans="1:56" s="86" customFormat="1" ht="40.5" customHeight="1">
      <c r="A808" s="78">
        <v>803</v>
      </c>
      <c r="B808" s="79" t="s">
        <v>3840</v>
      </c>
      <c r="C808" s="88">
        <v>45508</v>
      </c>
      <c r="D808" s="89">
        <v>0.33333333333333331</v>
      </c>
      <c r="E808" s="87" t="s">
        <v>58</v>
      </c>
      <c r="F808" s="87" t="s">
        <v>3832</v>
      </c>
      <c r="G808" s="87" t="s">
        <v>62</v>
      </c>
      <c r="H808" s="90" t="s">
        <v>3833</v>
      </c>
      <c r="I808" s="90" t="s">
        <v>128</v>
      </c>
      <c r="J808" s="87" t="s">
        <v>816</v>
      </c>
      <c r="K808" s="87"/>
      <c r="L808" s="90" t="s">
        <v>3834</v>
      </c>
      <c r="M808" s="91">
        <v>3046010799</v>
      </c>
      <c r="N808" s="102" t="s">
        <v>3835</v>
      </c>
      <c r="O808" s="90" t="str">
        <f t="shared" si="133"/>
        <v>Suba</v>
      </c>
      <c r="P808" s="87" t="s">
        <v>394</v>
      </c>
      <c r="Q808" s="87"/>
      <c r="R808" s="87"/>
      <c r="S808" s="87"/>
      <c r="T808" s="87"/>
      <c r="U808" s="87"/>
      <c r="V808" s="90" t="s">
        <v>429</v>
      </c>
      <c r="W808" s="87" t="s">
        <v>429</v>
      </c>
      <c r="X808" s="87"/>
      <c r="Y808" s="87"/>
      <c r="Z808" s="87"/>
      <c r="AA808" s="87"/>
      <c r="AB808" s="87"/>
      <c r="AC808" s="90" t="s">
        <v>876</v>
      </c>
      <c r="AD808" s="87" t="s">
        <v>876</v>
      </c>
      <c r="AE808" s="87"/>
      <c r="AF808" s="87"/>
      <c r="AG808" s="87"/>
      <c r="AH808" s="87"/>
      <c r="AI808" s="87"/>
      <c r="AJ808" s="87"/>
      <c r="AK808" s="87"/>
      <c r="AL808" s="87"/>
      <c r="AM808" s="87"/>
      <c r="AN808" s="90" t="s">
        <v>876</v>
      </c>
      <c r="AO808" s="90" t="s">
        <v>80</v>
      </c>
      <c r="AP808" s="82"/>
      <c r="AQ808" s="87" t="s">
        <v>59</v>
      </c>
      <c r="AR808" s="87" t="s">
        <v>80</v>
      </c>
      <c r="AS808" s="82"/>
      <c r="AT808" s="87">
        <v>0</v>
      </c>
      <c r="AU808" s="87">
        <v>1</v>
      </c>
      <c r="AV808" s="87">
        <f t="shared" si="150"/>
        <v>1</v>
      </c>
      <c r="AW808" s="87" t="str">
        <f t="shared" si="54"/>
        <v>Ninguna</v>
      </c>
      <c r="AX808" s="87" t="s">
        <v>75</v>
      </c>
      <c r="AY808" s="87"/>
      <c r="AZ808" s="87"/>
      <c r="BA808" s="91" t="s">
        <v>3836</v>
      </c>
      <c r="BB808" s="84"/>
      <c r="BC808" s="85"/>
      <c r="BD808" s="85"/>
    </row>
    <row r="809" spans="1:56" s="86" customFormat="1" ht="40.5" customHeight="1">
      <c r="A809" s="87">
        <v>804</v>
      </c>
      <c r="B809" s="79" t="s">
        <v>3841</v>
      </c>
      <c r="C809" s="88">
        <v>45508</v>
      </c>
      <c r="D809" s="89">
        <v>0.33333333333333331</v>
      </c>
      <c r="E809" s="87" t="s">
        <v>58</v>
      </c>
      <c r="F809" s="87" t="s">
        <v>3832</v>
      </c>
      <c r="G809" s="87" t="s">
        <v>62</v>
      </c>
      <c r="H809" s="90" t="s">
        <v>3833</v>
      </c>
      <c r="I809" s="90" t="s">
        <v>128</v>
      </c>
      <c r="J809" s="87" t="s">
        <v>816</v>
      </c>
      <c r="K809" s="87"/>
      <c r="L809" s="90" t="s">
        <v>3834</v>
      </c>
      <c r="M809" s="91">
        <v>3046010799</v>
      </c>
      <c r="N809" s="102" t="s">
        <v>3835</v>
      </c>
      <c r="O809" s="90" t="str">
        <f t="shared" si="133"/>
        <v>Suba</v>
      </c>
      <c r="P809" s="87" t="s">
        <v>394</v>
      </c>
      <c r="Q809" s="87"/>
      <c r="R809" s="87"/>
      <c r="S809" s="87"/>
      <c r="T809" s="87"/>
      <c r="U809" s="87"/>
      <c r="V809" s="90" t="str">
        <f t="shared" si="137"/>
        <v>Noroccidente</v>
      </c>
      <c r="W809" s="87" t="s">
        <v>395</v>
      </c>
      <c r="X809" s="87"/>
      <c r="Y809" s="87"/>
      <c r="Z809" s="87"/>
      <c r="AA809" s="87"/>
      <c r="AB809" s="87"/>
      <c r="AC809" s="90" t="s">
        <v>394</v>
      </c>
      <c r="AD809" s="87" t="s">
        <v>394</v>
      </c>
      <c r="AE809" s="87"/>
      <c r="AF809" s="87"/>
      <c r="AG809" s="87"/>
      <c r="AH809" s="87"/>
      <c r="AI809" s="87"/>
      <c r="AJ809" s="87"/>
      <c r="AK809" s="87"/>
      <c r="AL809" s="87"/>
      <c r="AM809" s="87"/>
      <c r="AN809" s="90" t="s">
        <v>394</v>
      </c>
      <c r="AO809" s="90" t="s">
        <v>80</v>
      </c>
      <c r="AP809" s="82"/>
      <c r="AQ809" s="87" t="s">
        <v>59</v>
      </c>
      <c r="AR809" s="87" t="s">
        <v>80</v>
      </c>
      <c r="AS809" s="82"/>
      <c r="AT809" s="87">
        <v>15</v>
      </c>
      <c r="AU809" s="87">
        <v>1</v>
      </c>
      <c r="AV809" s="87">
        <f t="shared" si="150"/>
        <v>16</v>
      </c>
      <c r="AW809" s="87" t="str">
        <f t="shared" si="54"/>
        <v>Ninguna</v>
      </c>
      <c r="AX809" s="87" t="s">
        <v>75</v>
      </c>
      <c r="AY809" s="87"/>
      <c r="AZ809" s="87"/>
      <c r="BA809" s="91" t="s">
        <v>3836</v>
      </c>
      <c r="BB809" s="84"/>
      <c r="BC809" s="85"/>
      <c r="BD809" s="85"/>
    </row>
    <row r="810" spans="1:56" s="86" customFormat="1" ht="40.5" customHeight="1">
      <c r="A810" s="78">
        <v>805</v>
      </c>
      <c r="B810" s="79" t="s">
        <v>3842</v>
      </c>
      <c r="C810" s="88">
        <v>45508</v>
      </c>
      <c r="D810" s="89">
        <v>0.33333333333333331</v>
      </c>
      <c r="E810" s="87" t="s">
        <v>58</v>
      </c>
      <c r="F810" s="87" t="s">
        <v>3832</v>
      </c>
      <c r="G810" s="87" t="s">
        <v>62</v>
      </c>
      <c r="H810" s="90" t="s">
        <v>3833</v>
      </c>
      <c r="I810" s="90" t="s">
        <v>128</v>
      </c>
      <c r="J810" s="87" t="s">
        <v>816</v>
      </c>
      <c r="K810" s="87"/>
      <c r="L810" s="90" t="s">
        <v>3834</v>
      </c>
      <c r="M810" s="91">
        <v>3046010799</v>
      </c>
      <c r="N810" s="102" t="s">
        <v>3835</v>
      </c>
      <c r="O810" s="90" t="str">
        <f t="shared" si="133"/>
        <v>Suba</v>
      </c>
      <c r="P810" s="87" t="s">
        <v>394</v>
      </c>
      <c r="Q810" s="87"/>
      <c r="R810" s="87"/>
      <c r="S810" s="87"/>
      <c r="T810" s="87"/>
      <c r="U810" s="87"/>
      <c r="V810" s="90" t="str">
        <f t="shared" si="137"/>
        <v>Noroccidente</v>
      </c>
      <c r="W810" s="87" t="s">
        <v>395</v>
      </c>
      <c r="X810" s="87"/>
      <c r="Y810" s="87"/>
      <c r="Z810" s="87"/>
      <c r="AA810" s="87"/>
      <c r="AB810" s="87"/>
      <c r="AC810" s="90" t="str">
        <f t="shared" si="138"/>
        <v>Tibabuyes</v>
      </c>
      <c r="AD810" s="87" t="s">
        <v>924</v>
      </c>
      <c r="AE810" s="87"/>
      <c r="AF810" s="87"/>
      <c r="AG810" s="87"/>
      <c r="AH810" s="87"/>
      <c r="AI810" s="87"/>
      <c r="AJ810" s="87"/>
      <c r="AK810" s="87"/>
      <c r="AL810" s="87"/>
      <c r="AM810" s="87"/>
      <c r="AN810" s="90" t="s">
        <v>924</v>
      </c>
      <c r="AO810" s="90" t="s">
        <v>80</v>
      </c>
      <c r="AP810" s="82"/>
      <c r="AQ810" s="87" t="s">
        <v>59</v>
      </c>
      <c r="AR810" s="87" t="s">
        <v>80</v>
      </c>
      <c r="AS810" s="82"/>
      <c r="AT810" s="87">
        <v>14</v>
      </c>
      <c r="AU810" s="87">
        <v>1</v>
      </c>
      <c r="AV810" s="87">
        <f t="shared" si="150"/>
        <v>15</v>
      </c>
      <c r="AW810" s="87" t="str">
        <f t="shared" si="54"/>
        <v>Ninguna</v>
      </c>
      <c r="AX810" s="87" t="s">
        <v>75</v>
      </c>
      <c r="AY810" s="87"/>
      <c r="AZ810" s="87"/>
      <c r="BA810" s="91" t="s">
        <v>3836</v>
      </c>
      <c r="BB810" s="84"/>
      <c r="BC810" s="85"/>
      <c r="BD810" s="85"/>
    </row>
    <row r="811" spans="1:56" s="86" customFormat="1" ht="40.5" customHeight="1">
      <c r="A811" s="87">
        <v>806</v>
      </c>
      <c r="B811" s="79" t="s">
        <v>3843</v>
      </c>
      <c r="C811" s="88">
        <v>45508</v>
      </c>
      <c r="D811" s="89">
        <v>0.33333333333333331</v>
      </c>
      <c r="E811" s="87" t="s">
        <v>58</v>
      </c>
      <c r="F811" s="87" t="s">
        <v>3832</v>
      </c>
      <c r="G811" s="87" t="s">
        <v>62</v>
      </c>
      <c r="H811" s="90" t="s">
        <v>3833</v>
      </c>
      <c r="I811" s="90" t="s">
        <v>128</v>
      </c>
      <c r="J811" s="87" t="s">
        <v>816</v>
      </c>
      <c r="K811" s="87"/>
      <c r="L811" s="90" t="s">
        <v>3834</v>
      </c>
      <c r="M811" s="91">
        <v>3046010799</v>
      </c>
      <c r="N811" s="102" t="s">
        <v>3835</v>
      </c>
      <c r="O811" s="90" t="str">
        <f t="shared" si="133"/>
        <v>Engativá</v>
      </c>
      <c r="P811" s="87" t="s">
        <v>123</v>
      </c>
      <c r="Q811" s="87"/>
      <c r="R811" s="87"/>
      <c r="S811" s="87"/>
      <c r="T811" s="87"/>
      <c r="U811" s="87"/>
      <c r="V811" s="90" t="str">
        <f t="shared" si="137"/>
        <v>Occidente</v>
      </c>
      <c r="W811" s="87" t="s">
        <v>124</v>
      </c>
      <c r="X811" s="87"/>
      <c r="Y811" s="87"/>
      <c r="Z811" s="87"/>
      <c r="AA811" s="87"/>
      <c r="AB811" s="87"/>
      <c r="AC811" s="90" t="str">
        <f t="shared" si="138"/>
        <v>Engativá</v>
      </c>
      <c r="AD811" s="87" t="s">
        <v>123</v>
      </c>
      <c r="AE811" s="87"/>
      <c r="AF811" s="87"/>
      <c r="AG811" s="87"/>
      <c r="AH811" s="87"/>
      <c r="AI811" s="87"/>
      <c r="AJ811" s="87"/>
      <c r="AK811" s="87"/>
      <c r="AL811" s="87"/>
      <c r="AM811" s="87"/>
      <c r="AN811" s="90" t="s">
        <v>123</v>
      </c>
      <c r="AO811" s="90" t="s">
        <v>80</v>
      </c>
      <c r="AP811" s="82"/>
      <c r="AQ811" s="87" t="s">
        <v>59</v>
      </c>
      <c r="AR811" s="87" t="s">
        <v>80</v>
      </c>
      <c r="AS811" s="82"/>
      <c r="AT811" s="87">
        <v>0</v>
      </c>
      <c r="AU811" s="87">
        <v>1</v>
      </c>
      <c r="AV811" s="87">
        <f t="shared" si="150"/>
        <v>1</v>
      </c>
      <c r="AW811" s="87" t="str">
        <f t="shared" ref="AW811:AW862" si="151">_xlfn.TEXTJOIN(", ",TRUE,$AX811:$AZ811)</f>
        <v>Ninguna</v>
      </c>
      <c r="AX811" s="87" t="s">
        <v>75</v>
      </c>
      <c r="AY811" s="87"/>
      <c r="AZ811" s="87"/>
      <c r="BA811" s="91" t="s">
        <v>3836</v>
      </c>
      <c r="BB811" s="84"/>
      <c r="BC811" s="85"/>
      <c r="BD811" s="85"/>
    </row>
    <row r="812" spans="1:56" s="86" customFormat="1" ht="40.5" customHeight="1">
      <c r="A812" s="78">
        <v>807</v>
      </c>
      <c r="B812" s="79" t="s">
        <v>3844</v>
      </c>
      <c r="C812" s="88">
        <v>45508</v>
      </c>
      <c r="D812" s="89">
        <v>0.33333333333333331</v>
      </c>
      <c r="E812" s="87" t="s">
        <v>58</v>
      </c>
      <c r="F812" s="87" t="s">
        <v>3832</v>
      </c>
      <c r="G812" s="87" t="s">
        <v>62</v>
      </c>
      <c r="H812" s="90" t="s">
        <v>3833</v>
      </c>
      <c r="I812" s="90" t="s">
        <v>128</v>
      </c>
      <c r="J812" s="87" t="s">
        <v>816</v>
      </c>
      <c r="K812" s="87"/>
      <c r="L812" s="90" t="s">
        <v>3834</v>
      </c>
      <c r="M812" s="91">
        <v>3046010799</v>
      </c>
      <c r="N812" s="102" t="s">
        <v>3835</v>
      </c>
      <c r="O812" s="90" t="str">
        <f t="shared" si="133"/>
        <v>Fontibón</v>
      </c>
      <c r="P812" s="87" t="s">
        <v>420</v>
      </c>
      <c r="Q812" s="87"/>
      <c r="R812" s="87"/>
      <c r="S812" s="87"/>
      <c r="T812" s="87"/>
      <c r="U812" s="87"/>
      <c r="V812" s="90" t="str">
        <f t="shared" si="137"/>
        <v>Occidente</v>
      </c>
      <c r="W812" s="87" t="s">
        <v>124</v>
      </c>
      <c r="X812" s="87"/>
      <c r="Y812" s="87"/>
      <c r="Z812" s="87"/>
      <c r="AA812" s="87"/>
      <c r="AB812" s="87"/>
      <c r="AC812" s="90" t="str">
        <f t="shared" si="138"/>
        <v>Fontibón</v>
      </c>
      <c r="AD812" s="87" t="s">
        <v>420</v>
      </c>
      <c r="AE812" s="87"/>
      <c r="AF812" s="87"/>
      <c r="AG812" s="87"/>
      <c r="AH812" s="87"/>
      <c r="AI812" s="87"/>
      <c r="AJ812" s="87"/>
      <c r="AK812" s="87"/>
      <c r="AL812" s="87"/>
      <c r="AM812" s="87"/>
      <c r="AN812" s="90" t="s">
        <v>420</v>
      </c>
      <c r="AO812" s="90" t="s">
        <v>80</v>
      </c>
      <c r="AP812" s="82"/>
      <c r="AQ812" s="87" t="s">
        <v>59</v>
      </c>
      <c r="AR812" s="87" t="s">
        <v>80</v>
      </c>
      <c r="AS812" s="82"/>
      <c r="AT812" s="87">
        <v>4</v>
      </c>
      <c r="AU812" s="87">
        <v>1</v>
      </c>
      <c r="AV812" s="87">
        <f t="shared" si="150"/>
        <v>5</v>
      </c>
      <c r="AW812" s="87" t="str">
        <f t="shared" si="151"/>
        <v>Ninguna</v>
      </c>
      <c r="AX812" s="87" t="s">
        <v>75</v>
      </c>
      <c r="AY812" s="87"/>
      <c r="AZ812" s="87"/>
      <c r="BA812" s="91" t="s">
        <v>3836</v>
      </c>
      <c r="BB812" s="84"/>
      <c r="BC812" s="85"/>
      <c r="BD812" s="85"/>
    </row>
    <row r="813" spans="1:56" s="86" customFormat="1" ht="40.5" customHeight="1">
      <c r="A813" s="87">
        <v>808</v>
      </c>
      <c r="B813" s="79" t="s">
        <v>3845</v>
      </c>
      <c r="C813" s="88">
        <v>45508</v>
      </c>
      <c r="D813" s="89">
        <v>0.33333333333333331</v>
      </c>
      <c r="E813" s="87" t="s">
        <v>58</v>
      </c>
      <c r="F813" s="87" t="s">
        <v>3832</v>
      </c>
      <c r="G813" s="87" t="s">
        <v>62</v>
      </c>
      <c r="H813" s="90" t="s">
        <v>3833</v>
      </c>
      <c r="I813" s="90" t="s">
        <v>128</v>
      </c>
      <c r="J813" s="87" t="s">
        <v>816</v>
      </c>
      <c r="K813" s="87"/>
      <c r="L813" s="90" t="s">
        <v>3834</v>
      </c>
      <c r="M813" s="91">
        <v>3046010799</v>
      </c>
      <c r="N813" s="102" t="s">
        <v>3835</v>
      </c>
      <c r="O813" s="90" t="str">
        <f t="shared" si="133"/>
        <v>Kennedy</v>
      </c>
      <c r="P813" s="87" t="s">
        <v>473</v>
      </c>
      <c r="Q813" s="87"/>
      <c r="R813" s="87"/>
      <c r="S813" s="87"/>
      <c r="T813" s="87"/>
      <c r="U813" s="87"/>
      <c r="V813" s="90" t="str">
        <f t="shared" si="137"/>
        <v>Suroccidente</v>
      </c>
      <c r="W813" s="87" t="s">
        <v>474</v>
      </c>
      <c r="X813" s="87"/>
      <c r="Y813" s="87"/>
      <c r="Z813" s="87"/>
      <c r="AA813" s="87"/>
      <c r="AB813" s="87"/>
      <c r="AC813" s="90" t="str">
        <f t="shared" si="138"/>
        <v>Tintal</v>
      </c>
      <c r="AD813" s="87" t="s">
        <v>1134</v>
      </c>
      <c r="AE813" s="87"/>
      <c r="AF813" s="87"/>
      <c r="AG813" s="87"/>
      <c r="AH813" s="87"/>
      <c r="AI813" s="87"/>
      <c r="AJ813" s="87"/>
      <c r="AK813" s="87"/>
      <c r="AL813" s="87"/>
      <c r="AM813" s="87"/>
      <c r="AN813" s="90" t="s">
        <v>1134</v>
      </c>
      <c r="AO813" s="90" t="s">
        <v>80</v>
      </c>
      <c r="AP813" s="82"/>
      <c r="AQ813" s="87" t="s">
        <v>59</v>
      </c>
      <c r="AR813" s="87" t="s">
        <v>80</v>
      </c>
      <c r="AS813" s="82"/>
      <c r="AT813" s="87">
        <v>0</v>
      </c>
      <c r="AU813" s="87">
        <v>1</v>
      </c>
      <c r="AV813" s="87">
        <f t="shared" si="150"/>
        <v>1</v>
      </c>
      <c r="AW813" s="87" t="str">
        <f t="shared" si="151"/>
        <v>Ninguna</v>
      </c>
      <c r="AX813" s="87" t="s">
        <v>75</v>
      </c>
      <c r="AY813" s="87"/>
      <c r="AZ813" s="87"/>
      <c r="BA813" s="91" t="s">
        <v>3836</v>
      </c>
      <c r="BB813" s="84"/>
      <c r="BC813" s="85"/>
      <c r="BD813" s="85"/>
    </row>
    <row r="814" spans="1:56" s="86" customFormat="1" ht="40.5" customHeight="1">
      <c r="A814" s="78">
        <v>809</v>
      </c>
      <c r="B814" s="79" t="s">
        <v>3846</v>
      </c>
      <c r="C814" s="88">
        <v>45508</v>
      </c>
      <c r="D814" s="89">
        <v>0.33333333333333331</v>
      </c>
      <c r="E814" s="87" t="s">
        <v>58</v>
      </c>
      <c r="F814" s="87" t="s">
        <v>3832</v>
      </c>
      <c r="G814" s="87" t="s">
        <v>62</v>
      </c>
      <c r="H814" s="90" t="s">
        <v>3833</v>
      </c>
      <c r="I814" s="90" t="s">
        <v>128</v>
      </c>
      <c r="J814" s="87" t="s">
        <v>816</v>
      </c>
      <c r="K814" s="87"/>
      <c r="L814" s="90" t="s">
        <v>3834</v>
      </c>
      <c r="M814" s="91">
        <v>3046010799</v>
      </c>
      <c r="N814" s="102" t="s">
        <v>3835</v>
      </c>
      <c r="O814" s="90" t="str">
        <f t="shared" si="133"/>
        <v>Kennedy</v>
      </c>
      <c r="P814" s="87" t="s">
        <v>473</v>
      </c>
      <c r="Q814" s="87"/>
      <c r="R814" s="87"/>
      <c r="S814" s="87"/>
      <c r="T814" s="87"/>
      <c r="U814" s="87"/>
      <c r="V814" s="90" t="str">
        <f t="shared" si="137"/>
        <v>Suroccidente</v>
      </c>
      <c r="W814" s="87" t="s">
        <v>474</v>
      </c>
      <c r="X814" s="87"/>
      <c r="Y814" s="87"/>
      <c r="Z814" s="87"/>
      <c r="AA814" s="87"/>
      <c r="AB814" s="87"/>
      <c r="AC814" s="90" t="str">
        <f t="shared" si="138"/>
        <v>Patio Bonito</v>
      </c>
      <c r="AD814" s="87" t="s">
        <v>639</v>
      </c>
      <c r="AE814" s="87"/>
      <c r="AF814" s="87"/>
      <c r="AG814" s="87"/>
      <c r="AH814" s="87"/>
      <c r="AI814" s="87"/>
      <c r="AJ814" s="87"/>
      <c r="AK814" s="87"/>
      <c r="AL814" s="87"/>
      <c r="AM814" s="87"/>
      <c r="AN814" s="90" t="s">
        <v>639</v>
      </c>
      <c r="AO814" s="90" t="s">
        <v>80</v>
      </c>
      <c r="AP814" s="82"/>
      <c r="AQ814" s="87" t="s">
        <v>59</v>
      </c>
      <c r="AR814" s="87" t="s">
        <v>80</v>
      </c>
      <c r="AS814" s="82"/>
      <c r="AT814" s="87">
        <v>0</v>
      </c>
      <c r="AU814" s="87">
        <v>1</v>
      </c>
      <c r="AV814" s="87">
        <f t="shared" si="150"/>
        <v>1</v>
      </c>
      <c r="AW814" s="87" t="str">
        <f t="shared" si="151"/>
        <v>Ninguna</v>
      </c>
      <c r="AX814" s="87" t="s">
        <v>75</v>
      </c>
      <c r="AY814" s="87"/>
      <c r="AZ814" s="87"/>
      <c r="BA814" s="91" t="s">
        <v>3836</v>
      </c>
      <c r="BB814" s="84"/>
      <c r="BC814" s="85"/>
      <c r="BD814" s="85"/>
    </row>
    <row r="815" spans="1:56" s="86" customFormat="1" ht="40.5" customHeight="1">
      <c r="A815" s="87">
        <v>810</v>
      </c>
      <c r="B815" s="79" t="s">
        <v>3847</v>
      </c>
      <c r="C815" s="88">
        <v>45508</v>
      </c>
      <c r="D815" s="89">
        <v>0.33333333333333331</v>
      </c>
      <c r="E815" s="87" t="s">
        <v>58</v>
      </c>
      <c r="F815" s="87" t="s">
        <v>3832</v>
      </c>
      <c r="G815" s="87" t="s">
        <v>62</v>
      </c>
      <c r="H815" s="90" t="s">
        <v>3833</v>
      </c>
      <c r="I815" s="90" t="s">
        <v>128</v>
      </c>
      <c r="J815" s="87" t="s">
        <v>816</v>
      </c>
      <c r="K815" s="87"/>
      <c r="L815" s="90" t="s">
        <v>3834</v>
      </c>
      <c r="M815" s="91">
        <v>3046010799</v>
      </c>
      <c r="N815" s="102" t="s">
        <v>3835</v>
      </c>
      <c r="O815" s="90" t="str">
        <f t="shared" si="133"/>
        <v>Kennedy</v>
      </c>
      <c r="P815" s="87" t="s">
        <v>473</v>
      </c>
      <c r="Q815" s="87"/>
      <c r="R815" s="87"/>
      <c r="S815" s="87"/>
      <c r="T815" s="87"/>
      <c r="U815" s="87"/>
      <c r="V815" s="90" t="str">
        <f t="shared" si="137"/>
        <v>Suroccidente</v>
      </c>
      <c r="W815" s="87" t="s">
        <v>474</v>
      </c>
      <c r="X815" s="87"/>
      <c r="Y815" s="87"/>
      <c r="Z815" s="87"/>
      <c r="AA815" s="87"/>
      <c r="AB815" s="87"/>
      <c r="AC815" s="90" t="str">
        <f t="shared" si="138"/>
        <v>Porvenir</v>
      </c>
      <c r="AD815" s="87" t="s">
        <v>705</v>
      </c>
      <c r="AE815" s="87"/>
      <c r="AF815" s="87"/>
      <c r="AG815" s="87"/>
      <c r="AH815" s="87"/>
      <c r="AI815" s="87"/>
      <c r="AJ815" s="87"/>
      <c r="AK815" s="87"/>
      <c r="AL815" s="87"/>
      <c r="AM815" s="87"/>
      <c r="AN815" s="90" t="s">
        <v>705</v>
      </c>
      <c r="AO815" s="90" t="s">
        <v>80</v>
      </c>
      <c r="AP815" s="82"/>
      <c r="AQ815" s="87" t="s">
        <v>59</v>
      </c>
      <c r="AR815" s="87" t="s">
        <v>80</v>
      </c>
      <c r="AS815" s="82"/>
      <c r="AT815" s="87">
        <v>0</v>
      </c>
      <c r="AU815" s="87">
        <v>1</v>
      </c>
      <c r="AV815" s="87">
        <f t="shared" si="150"/>
        <v>1</v>
      </c>
      <c r="AW815" s="87" t="str">
        <f t="shared" si="151"/>
        <v>Ninguna</v>
      </c>
      <c r="AX815" s="87" t="s">
        <v>75</v>
      </c>
      <c r="AY815" s="87"/>
      <c r="AZ815" s="87"/>
      <c r="BA815" s="91" t="s">
        <v>3836</v>
      </c>
      <c r="BB815" s="84"/>
      <c r="BC815" s="85"/>
      <c r="BD815" s="85"/>
    </row>
    <row r="816" spans="1:56" s="86" customFormat="1" ht="40.5" customHeight="1">
      <c r="A816" s="78">
        <v>811</v>
      </c>
      <c r="B816" s="79" t="s">
        <v>3848</v>
      </c>
      <c r="C816" s="88">
        <v>45508</v>
      </c>
      <c r="D816" s="89">
        <v>0.33333333333333331</v>
      </c>
      <c r="E816" s="87" t="s">
        <v>58</v>
      </c>
      <c r="F816" s="87" t="s">
        <v>3832</v>
      </c>
      <c r="G816" s="87" t="s">
        <v>62</v>
      </c>
      <c r="H816" s="90" t="s">
        <v>3833</v>
      </c>
      <c r="I816" s="90" t="s">
        <v>128</v>
      </c>
      <c r="J816" s="87" t="s">
        <v>816</v>
      </c>
      <c r="K816" s="87"/>
      <c r="L816" s="90" t="s">
        <v>3834</v>
      </c>
      <c r="M816" s="91">
        <v>3046010799</v>
      </c>
      <c r="N816" s="102" t="s">
        <v>3835</v>
      </c>
      <c r="O816" s="90" t="str">
        <f t="shared" si="133"/>
        <v>Kennedy</v>
      </c>
      <c r="P816" s="87" t="s">
        <v>473</v>
      </c>
      <c r="Q816" s="87"/>
      <c r="R816" s="87"/>
      <c r="S816" s="87"/>
      <c r="T816" s="87"/>
      <c r="U816" s="87"/>
      <c r="V816" s="90" t="str">
        <f t="shared" si="137"/>
        <v>Suroccidente</v>
      </c>
      <c r="W816" s="87" t="s">
        <v>474</v>
      </c>
      <c r="X816" s="87"/>
      <c r="Y816" s="87"/>
      <c r="Z816" s="87"/>
      <c r="AA816" s="87"/>
      <c r="AB816" s="87"/>
      <c r="AC816" s="90" t="str">
        <f t="shared" si="138"/>
        <v>Edén</v>
      </c>
      <c r="AD816" s="87" t="s">
        <v>704</v>
      </c>
      <c r="AE816" s="87"/>
      <c r="AF816" s="87"/>
      <c r="AG816" s="87"/>
      <c r="AH816" s="87"/>
      <c r="AI816" s="87"/>
      <c r="AJ816" s="87"/>
      <c r="AK816" s="87"/>
      <c r="AL816" s="87"/>
      <c r="AM816" s="87"/>
      <c r="AN816" s="90" t="s">
        <v>704</v>
      </c>
      <c r="AO816" s="90" t="s">
        <v>80</v>
      </c>
      <c r="AP816" s="82"/>
      <c r="AQ816" s="87" t="s">
        <v>59</v>
      </c>
      <c r="AR816" s="87" t="s">
        <v>80</v>
      </c>
      <c r="AS816" s="82"/>
      <c r="AT816" s="87">
        <v>0</v>
      </c>
      <c r="AU816" s="87">
        <v>1</v>
      </c>
      <c r="AV816" s="87">
        <f t="shared" si="150"/>
        <v>1</v>
      </c>
      <c r="AW816" s="87" t="str">
        <f t="shared" si="151"/>
        <v>Ninguna</v>
      </c>
      <c r="AX816" s="87" t="s">
        <v>75</v>
      </c>
      <c r="AY816" s="87"/>
      <c r="AZ816" s="87"/>
      <c r="BA816" s="91" t="s">
        <v>3836</v>
      </c>
      <c r="BB816" s="84"/>
      <c r="BC816" s="85"/>
      <c r="BD816" s="85"/>
    </row>
    <row r="817" spans="1:56" s="86" customFormat="1" ht="40.5" customHeight="1">
      <c r="A817" s="87">
        <v>812</v>
      </c>
      <c r="B817" s="79" t="s">
        <v>3849</v>
      </c>
      <c r="C817" s="88">
        <v>45508</v>
      </c>
      <c r="D817" s="89">
        <v>0.33333333333333331</v>
      </c>
      <c r="E817" s="87" t="s">
        <v>58</v>
      </c>
      <c r="F817" s="87" t="s">
        <v>3832</v>
      </c>
      <c r="G817" s="87" t="s">
        <v>62</v>
      </c>
      <c r="H817" s="90" t="s">
        <v>3833</v>
      </c>
      <c r="I817" s="90" t="s">
        <v>128</v>
      </c>
      <c r="J817" s="87" t="s">
        <v>816</v>
      </c>
      <c r="K817" s="87"/>
      <c r="L817" s="90" t="s">
        <v>3834</v>
      </c>
      <c r="M817" s="91">
        <v>3046010799</v>
      </c>
      <c r="N817" s="102" t="s">
        <v>3835</v>
      </c>
      <c r="O817" s="90" t="str">
        <f t="shared" si="133"/>
        <v>Kennedy</v>
      </c>
      <c r="P817" s="87" t="s">
        <v>473</v>
      </c>
      <c r="Q817" s="87"/>
      <c r="R817" s="87"/>
      <c r="S817" s="87"/>
      <c r="T817" s="87"/>
      <c r="U817" s="87"/>
      <c r="V817" s="90" t="str">
        <f t="shared" si="137"/>
        <v>Suroccidente</v>
      </c>
      <c r="W817" s="87" t="s">
        <v>474</v>
      </c>
      <c r="X817" s="87"/>
      <c r="Y817" s="87"/>
      <c r="Z817" s="87"/>
      <c r="AA817" s="87"/>
      <c r="AB817" s="87"/>
      <c r="AC817" s="90" t="str">
        <f t="shared" si="138"/>
        <v>Bosa</v>
      </c>
      <c r="AD817" s="87" t="s">
        <v>472</v>
      </c>
      <c r="AE817" s="87"/>
      <c r="AF817" s="87"/>
      <c r="AG817" s="87"/>
      <c r="AH817" s="87"/>
      <c r="AI817" s="87"/>
      <c r="AJ817" s="87"/>
      <c r="AK817" s="87"/>
      <c r="AL817" s="87"/>
      <c r="AM817" s="87"/>
      <c r="AN817" s="90" t="s">
        <v>472</v>
      </c>
      <c r="AO817" s="90" t="s">
        <v>80</v>
      </c>
      <c r="AP817" s="82"/>
      <c r="AQ817" s="87" t="s">
        <v>59</v>
      </c>
      <c r="AR817" s="87" t="s">
        <v>80</v>
      </c>
      <c r="AS817" s="82"/>
      <c r="AT817" s="87">
        <v>0</v>
      </c>
      <c r="AU817" s="87">
        <v>1</v>
      </c>
      <c r="AV817" s="87">
        <f t="shared" si="150"/>
        <v>1</v>
      </c>
      <c r="AW817" s="87" t="str">
        <f t="shared" si="151"/>
        <v>Ninguna</v>
      </c>
      <c r="AX817" s="87" t="s">
        <v>75</v>
      </c>
      <c r="AY817" s="87"/>
      <c r="AZ817" s="87"/>
      <c r="BA817" s="91" t="s">
        <v>3836</v>
      </c>
      <c r="BB817" s="84"/>
      <c r="BC817" s="85"/>
      <c r="BD817" s="85"/>
    </row>
    <row r="818" spans="1:56" s="86" customFormat="1" ht="40.5" customHeight="1">
      <c r="A818" s="78">
        <v>813</v>
      </c>
      <c r="B818" s="79" t="s">
        <v>3850</v>
      </c>
      <c r="C818" s="88">
        <v>45508</v>
      </c>
      <c r="D818" s="89">
        <v>0.33333333333333331</v>
      </c>
      <c r="E818" s="87" t="s">
        <v>58</v>
      </c>
      <c r="F818" s="87" t="s">
        <v>3832</v>
      </c>
      <c r="G818" s="87" t="s">
        <v>62</v>
      </c>
      <c r="H818" s="90" t="s">
        <v>3833</v>
      </c>
      <c r="I818" s="90" t="s">
        <v>128</v>
      </c>
      <c r="J818" s="87" t="s">
        <v>816</v>
      </c>
      <c r="K818" s="87"/>
      <c r="L818" s="90" t="s">
        <v>3834</v>
      </c>
      <c r="M818" s="91">
        <v>3046010799</v>
      </c>
      <c r="N818" s="102" t="s">
        <v>3835</v>
      </c>
      <c r="O818" s="90" t="str">
        <f t="shared" si="133"/>
        <v>Kennedy</v>
      </c>
      <c r="P818" s="87" t="s">
        <v>473</v>
      </c>
      <c r="Q818" s="87"/>
      <c r="R818" s="87"/>
      <c r="S818" s="87"/>
      <c r="T818" s="87"/>
      <c r="U818" s="87"/>
      <c r="V818" s="90" t="str">
        <f t="shared" si="137"/>
        <v>Suroccidente</v>
      </c>
      <c r="W818" s="87" t="s">
        <v>474</v>
      </c>
      <c r="X818" s="87"/>
      <c r="Y818" s="87"/>
      <c r="Z818" s="87"/>
      <c r="AA818" s="87"/>
      <c r="AB818" s="87"/>
      <c r="AC818" s="90" t="str">
        <f t="shared" si="138"/>
        <v>Kennedy</v>
      </c>
      <c r="AD818" s="87" t="s">
        <v>473</v>
      </c>
      <c r="AE818" s="87"/>
      <c r="AF818" s="87"/>
      <c r="AG818" s="87"/>
      <c r="AH818" s="87"/>
      <c r="AI818" s="87"/>
      <c r="AJ818" s="87"/>
      <c r="AK818" s="87"/>
      <c r="AL818" s="87"/>
      <c r="AM818" s="87"/>
      <c r="AN818" s="90" t="s">
        <v>473</v>
      </c>
      <c r="AO818" s="90" t="s">
        <v>80</v>
      </c>
      <c r="AP818" s="82"/>
      <c r="AQ818" s="87" t="s">
        <v>59</v>
      </c>
      <c r="AR818" s="87" t="s">
        <v>80</v>
      </c>
      <c r="AS818" s="82"/>
      <c r="AT818" s="87">
        <v>0</v>
      </c>
      <c r="AU818" s="87">
        <v>1</v>
      </c>
      <c r="AV818" s="87">
        <f t="shared" si="150"/>
        <v>1</v>
      </c>
      <c r="AW818" s="87" t="str">
        <f t="shared" si="151"/>
        <v>Ninguna</v>
      </c>
      <c r="AX818" s="87" t="s">
        <v>75</v>
      </c>
      <c r="AY818" s="87"/>
      <c r="AZ818" s="87"/>
      <c r="BA818" s="91" t="s">
        <v>3836</v>
      </c>
      <c r="BB818" s="84"/>
      <c r="BC818" s="85"/>
      <c r="BD818" s="85"/>
    </row>
    <row r="819" spans="1:56" s="86" customFormat="1" ht="40.5" customHeight="1">
      <c r="A819" s="87">
        <v>814</v>
      </c>
      <c r="B819" s="79" t="s">
        <v>3851</v>
      </c>
      <c r="C819" s="88">
        <v>45508</v>
      </c>
      <c r="D819" s="89">
        <v>0.33333333333333331</v>
      </c>
      <c r="E819" s="87" t="s">
        <v>58</v>
      </c>
      <c r="F819" s="87" t="s">
        <v>3832</v>
      </c>
      <c r="G819" s="87" t="s">
        <v>62</v>
      </c>
      <c r="H819" s="90" t="s">
        <v>3833</v>
      </c>
      <c r="I819" s="90" t="s">
        <v>128</v>
      </c>
      <c r="J819" s="87" t="s">
        <v>816</v>
      </c>
      <c r="K819" s="87"/>
      <c r="L819" s="90" t="s">
        <v>3834</v>
      </c>
      <c r="M819" s="91">
        <v>3046010799</v>
      </c>
      <c r="N819" s="102" t="s">
        <v>3835</v>
      </c>
      <c r="O819" s="90" t="str">
        <f t="shared" si="133"/>
        <v>Tunjuelito</v>
      </c>
      <c r="P819" s="87" t="s">
        <v>618</v>
      </c>
      <c r="Q819" s="87"/>
      <c r="R819" s="87"/>
      <c r="S819" s="87"/>
      <c r="T819" s="87"/>
      <c r="U819" s="87"/>
      <c r="V819" s="90" t="str">
        <f t="shared" si="137"/>
        <v>Suroriente</v>
      </c>
      <c r="W819" s="87" t="s">
        <v>108</v>
      </c>
      <c r="X819" s="87"/>
      <c r="Y819" s="87"/>
      <c r="Z819" s="87"/>
      <c r="AA819" s="87"/>
      <c r="AB819" s="87"/>
      <c r="AC819" s="90" t="str">
        <f t="shared" si="138"/>
        <v>Tunjuelito</v>
      </c>
      <c r="AD819" s="87" t="s">
        <v>618</v>
      </c>
      <c r="AE819" s="87"/>
      <c r="AF819" s="87"/>
      <c r="AG819" s="87"/>
      <c r="AH819" s="87"/>
      <c r="AI819" s="87"/>
      <c r="AJ819" s="87"/>
      <c r="AK819" s="87"/>
      <c r="AL819" s="87"/>
      <c r="AM819" s="87"/>
      <c r="AN819" s="90" t="s">
        <v>618</v>
      </c>
      <c r="AO819" s="90" t="s">
        <v>80</v>
      </c>
      <c r="AP819" s="82"/>
      <c r="AQ819" s="87" t="s">
        <v>59</v>
      </c>
      <c r="AR819" s="87" t="s">
        <v>80</v>
      </c>
      <c r="AS819" s="82"/>
      <c r="AT819" s="87">
        <v>0</v>
      </c>
      <c r="AU819" s="87">
        <v>1</v>
      </c>
      <c r="AV819" s="87">
        <f t="shared" si="150"/>
        <v>1</v>
      </c>
      <c r="AW819" s="87" t="str">
        <f t="shared" si="151"/>
        <v>Ninguna</v>
      </c>
      <c r="AX819" s="87" t="s">
        <v>75</v>
      </c>
      <c r="AY819" s="87"/>
      <c r="AZ819" s="87"/>
      <c r="BA819" s="91" t="s">
        <v>3836</v>
      </c>
      <c r="BB819" s="84"/>
      <c r="BC819" s="85"/>
      <c r="BD819" s="85"/>
    </row>
    <row r="820" spans="1:56" s="86" customFormat="1" ht="40.5" customHeight="1">
      <c r="A820" s="78">
        <v>815</v>
      </c>
      <c r="B820" s="79" t="s">
        <v>3852</v>
      </c>
      <c r="C820" s="88">
        <v>45508</v>
      </c>
      <c r="D820" s="89">
        <v>0.33333333333333331</v>
      </c>
      <c r="E820" s="87" t="s">
        <v>58</v>
      </c>
      <c r="F820" s="87" t="s">
        <v>3832</v>
      </c>
      <c r="G820" s="87" t="s">
        <v>62</v>
      </c>
      <c r="H820" s="90" t="s">
        <v>3833</v>
      </c>
      <c r="I820" s="90" t="s">
        <v>128</v>
      </c>
      <c r="J820" s="87" t="s">
        <v>816</v>
      </c>
      <c r="K820" s="87"/>
      <c r="L820" s="90" t="s">
        <v>3834</v>
      </c>
      <c r="M820" s="91">
        <v>3046010799</v>
      </c>
      <c r="N820" s="102" t="s">
        <v>3835</v>
      </c>
      <c r="O820" s="90" t="str">
        <f t="shared" si="133"/>
        <v>Rafael Uribe Uribe</v>
      </c>
      <c r="P820" s="87" t="s">
        <v>414</v>
      </c>
      <c r="Q820" s="87"/>
      <c r="R820" s="87"/>
      <c r="S820" s="87"/>
      <c r="T820" s="87"/>
      <c r="U820" s="87"/>
      <c r="V820" s="90" t="str">
        <f t="shared" si="137"/>
        <v>Suroriente</v>
      </c>
      <c r="W820" s="87" t="s">
        <v>108</v>
      </c>
      <c r="X820" s="87"/>
      <c r="Y820" s="87"/>
      <c r="Z820" s="87"/>
      <c r="AA820" s="87"/>
      <c r="AB820" s="87"/>
      <c r="AC820" s="90" t="str">
        <f t="shared" si="138"/>
        <v>Rafael Uribe</v>
      </c>
      <c r="AD820" s="87" t="s">
        <v>467</v>
      </c>
      <c r="AE820" s="87"/>
      <c r="AF820" s="87"/>
      <c r="AG820" s="87"/>
      <c r="AH820" s="87"/>
      <c r="AI820" s="87"/>
      <c r="AJ820" s="87"/>
      <c r="AK820" s="87"/>
      <c r="AL820" s="87"/>
      <c r="AM820" s="87"/>
      <c r="AN820" s="90" t="s">
        <v>414</v>
      </c>
      <c r="AO820" s="90" t="s">
        <v>80</v>
      </c>
      <c r="AP820" s="82"/>
      <c r="AQ820" s="87" t="s">
        <v>59</v>
      </c>
      <c r="AR820" s="87" t="s">
        <v>80</v>
      </c>
      <c r="AS820" s="82"/>
      <c r="AT820" s="87">
        <v>10</v>
      </c>
      <c r="AU820" s="87">
        <v>1</v>
      </c>
      <c r="AV820" s="87">
        <f t="shared" si="150"/>
        <v>11</v>
      </c>
      <c r="AW820" s="87" t="str">
        <f t="shared" si="151"/>
        <v>Ninguna</v>
      </c>
      <c r="AX820" s="87" t="s">
        <v>75</v>
      </c>
      <c r="AY820" s="87"/>
      <c r="AZ820" s="87"/>
      <c r="BA820" s="91" t="s">
        <v>3836</v>
      </c>
      <c r="BB820" s="84"/>
      <c r="BC820" s="85"/>
      <c r="BD820" s="85"/>
    </row>
    <row r="821" spans="1:56" s="86" customFormat="1" ht="40.5" customHeight="1">
      <c r="A821" s="87">
        <v>816</v>
      </c>
      <c r="B821" s="79" t="s">
        <v>3853</v>
      </c>
      <c r="C821" s="88">
        <v>45508</v>
      </c>
      <c r="D821" s="89">
        <v>0.33333333333333331</v>
      </c>
      <c r="E821" s="87" t="s">
        <v>58</v>
      </c>
      <c r="F821" s="87" t="s">
        <v>3832</v>
      </c>
      <c r="G821" s="87" t="s">
        <v>62</v>
      </c>
      <c r="H821" s="90" t="s">
        <v>3833</v>
      </c>
      <c r="I821" s="90" t="s">
        <v>128</v>
      </c>
      <c r="J821" s="87" t="s">
        <v>816</v>
      </c>
      <c r="K821" s="87"/>
      <c r="L821" s="90" t="s">
        <v>3834</v>
      </c>
      <c r="M821" s="91">
        <v>3046010799</v>
      </c>
      <c r="N821" s="102" t="s">
        <v>3835</v>
      </c>
      <c r="O821" s="90" t="str">
        <f t="shared" si="133"/>
        <v>San Cristóbal</v>
      </c>
      <c r="P821" s="87" t="s">
        <v>370</v>
      </c>
      <c r="Q821" s="87"/>
      <c r="R821" s="87"/>
      <c r="S821" s="87"/>
      <c r="T821" s="87"/>
      <c r="U821" s="87"/>
      <c r="V821" s="90" t="str">
        <f t="shared" si="137"/>
        <v>Suroriente</v>
      </c>
      <c r="W821" s="87" t="s">
        <v>108</v>
      </c>
      <c r="X821" s="87"/>
      <c r="Y821" s="87"/>
      <c r="Z821" s="87"/>
      <c r="AA821" s="87"/>
      <c r="AB821" s="87"/>
      <c r="AC821" s="90" t="str">
        <f t="shared" si="138"/>
        <v>San Cristobal</v>
      </c>
      <c r="AD821" s="87" t="s">
        <v>371</v>
      </c>
      <c r="AE821" s="87"/>
      <c r="AF821" s="87"/>
      <c r="AG821" s="87"/>
      <c r="AH821" s="87"/>
      <c r="AI821" s="87"/>
      <c r="AJ821" s="87"/>
      <c r="AK821" s="87"/>
      <c r="AL821" s="87"/>
      <c r="AM821" s="87"/>
      <c r="AN821" s="90" t="s">
        <v>370</v>
      </c>
      <c r="AO821" s="90" t="s">
        <v>80</v>
      </c>
      <c r="AP821" s="82"/>
      <c r="AQ821" s="87" t="s">
        <v>59</v>
      </c>
      <c r="AR821" s="87" t="s">
        <v>80</v>
      </c>
      <c r="AS821" s="82"/>
      <c r="AT821" s="87">
        <v>3</v>
      </c>
      <c r="AU821" s="87">
        <v>1</v>
      </c>
      <c r="AV821" s="87">
        <f t="shared" si="150"/>
        <v>4</v>
      </c>
      <c r="AW821" s="87" t="str">
        <f t="shared" si="151"/>
        <v>Ninguna</v>
      </c>
      <c r="AX821" s="87" t="s">
        <v>75</v>
      </c>
      <c r="AY821" s="87"/>
      <c r="AZ821" s="87"/>
      <c r="BA821" s="91" t="s">
        <v>3836</v>
      </c>
      <c r="BB821" s="84"/>
      <c r="BC821" s="85"/>
      <c r="BD821" s="85"/>
    </row>
    <row r="822" spans="1:56" s="86" customFormat="1" ht="40.5" customHeight="1">
      <c r="A822" s="78">
        <v>817</v>
      </c>
      <c r="B822" s="79" t="s">
        <v>3854</v>
      </c>
      <c r="C822" s="88">
        <v>45508</v>
      </c>
      <c r="D822" s="89">
        <v>0.33333333333333331</v>
      </c>
      <c r="E822" s="87" t="s">
        <v>58</v>
      </c>
      <c r="F822" s="87" t="s">
        <v>3832</v>
      </c>
      <c r="G822" s="87" t="s">
        <v>62</v>
      </c>
      <c r="H822" s="90" t="s">
        <v>3833</v>
      </c>
      <c r="I822" s="90" t="s">
        <v>128</v>
      </c>
      <c r="J822" s="87" t="s">
        <v>816</v>
      </c>
      <c r="K822" s="87"/>
      <c r="L822" s="90" t="s">
        <v>3834</v>
      </c>
      <c r="M822" s="91">
        <v>3046010799</v>
      </c>
      <c r="N822" s="102" t="s">
        <v>3835</v>
      </c>
      <c r="O822" s="90" t="str">
        <f t="shared" si="133"/>
        <v>Antonio Nariño</v>
      </c>
      <c r="P822" s="87" t="s">
        <v>413</v>
      </c>
      <c r="Q822" s="87"/>
      <c r="R822" s="87"/>
      <c r="S822" s="87"/>
      <c r="T822" s="87"/>
      <c r="U822" s="87"/>
      <c r="V822" s="90" t="str">
        <f t="shared" si="137"/>
        <v>Centro Ampliado</v>
      </c>
      <c r="W822" s="87" t="s">
        <v>415</v>
      </c>
      <c r="X822" s="87"/>
      <c r="Y822" s="87"/>
      <c r="Z822" s="87"/>
      <c r="AA822" s="87"/>
      <c r="AB822" s="87"/>
      <c r="AC822" s="90" t="str">
        <f t="shared" si="138"/>
        <v>Restrepo</v>
      </c>
      <c r="AD822" s="87" t="s">
        <v>416</v>
      </c>
      <c r="AE822" s="87"/>
      <c r="AF822" s="87"/>
      <c r="AG822" s="87"/>
      <c r="AH822" s="87"/>
      <c r="AI822" s="87"/>
      <c r="AJ822" s="87"/>
      <c r="AK822" s="87"/>
      <c r="AL822" s="87"/>
      <c r="AM822" s="87"/>
      <c r="AN822" s="90" t="s">
        <v>416</v>
      </c>
      <c r="AO822" s="90" t="s">
        <v>80</v>
      </c>
      <c r="AP822" s="82"/>
      <c r="AQ822" s="87" t="s">
        <v>59</v>
      </c>
      <c r="AR822" s="87" t="s">
        <v>80</v>
      </c>
      <c r="AS822" s="82"/>
      <c r="AT822" s="87">
        <v>0</v>
      </c>
      <c r="AU822" s="87">
        <v>1</v>
      </c>
      <c r="AV822" s="87">
        <f t="shared" si="150"/>
        <v>1</v>
      </c>
      <c r="AW822" s="87" t="str">
        <f t="shared" si="151"/>
        <v>Ninguna</v>
      </c>
      <c r="AX822" s="87" t="s">
        <v>75</v>
      </c>
      <c r="AY822" s="87"/>
      <c r="AZ822" s="87"/>
      <c r="BA822" s="91" t="s">
        <v>3836</v>
      </c>
      <c r="BB822" s="84"/>
      <c r="BC822" s="85"/>
      <c r="BD822" s="85"/>
    </row>
    <row r="823" spans="1:56" s="86" customFormat="1" ht="40.5" customHeight="1">
      <c r="A823" s="87">
        <v>818</v>
      </c>
      <c r="B823" s="79" t="s">
        <v>3855</v>
      </c>
      <c r="C823" s="88">
        <v>45508</v>
      </c>
      <c r="D823" s="89">
        <v>0.33333333333333331</v>
      </c>
      <c r="E823" s="87" t="s">
        <v>58</v>
      </c>
      <c r="F823" s="87" t="s">
        <v>3832</v>
      </c>
      <c r="G823" s="87" t="s">
        <v>62</v>
      </c>
      <c r="H823" s="90" t="s">
        <v>3833</v>
      </c>
      <c r="I823" s="90" t="s">
        <v>128</v>
      </c>
      <c r="J823" s="87" t="s">
        <v>816</v>
      </c>
      <c r="K823" s="87"/>
      <c r="L823" s="90" t="s">
        <v>3834</v>
      </c>
      <c r="M823" s="91">
        <v>3046010799</v>
      </c>
      <c r="N823" s="102" t="s">
        <v>3835</v>
      </c>
      <c r="O823" s="90" t="str">
        <f t="shared" si="133"/>
        <v>Los Mártires, La Candelaria, Chapinero</v>
      </c>
      <c r="P823" s="87" t="s">
        <v>542</v>
      </c>
      <c r="Q823" s="87" t="s">
        <v>487</v>
      </c>
      <c r="R823" s="87" t="s">
        <v>221</v>
      </c>
      <c r="S823" s="87"/>
      <c r="T823" s="87"/>
      <c r="U823" s="87"/>
      <c r="V823" s="90" t="str">
        <f t="shared" si="137"/>
        <v>Centro Ampliado</v>
      </c>
      <c r="W823" s="87" t="s">
        <v>415</v>
      </c>
      <c r="X823" s="87"/>
      <c r="Y823" s="87"/>
      <c r="Z823" s="87"/>
      <c r="AA823" s="87"/>
      <c r="AB823" s="87"/>
      <c r="AC823" s="90" t="str">
        <f t="shared" si="138"/>
        <v>Centro Histórico</v>
      </c>
      <c r="AD823" s="87" t="s">
        <v>488</v>
      </c>
      <c r="AE823" s="87"/>
      <c r="AF823" s="87"/>
      <c r="AG823" s="87"/>
      <c r="AH823" s="87"/>
      <c r="AI823" s="87"/>
      <c r="AJ823" s="87"/>
      <c r="AK823" s="87"/>
      <c r="AL823" s="87"/>
      <c r="AM823" s="87"/>
      <c r="AN823" s="90" t="s">
        <v>488</v>
      </c>
      <c r="AO823" s="90" t="s">
        <v>80</v>
      </c>
      <c r="AP823" s="82"/>
      <c r="AQ823" s="87" t="s">
        <v>59</v>
      </c>
      <c r="AR823" s="87" t="s">
        <v>80</v>
      </c>
      <c r="AS823" s="82"/>
      <c r="AT823" s="87">
        <v>0</v>
      </c>
      <c r="AU823" s="87">
        <v>1</v>
      </c>
      <c r="AV823" s="87">
        <f t="shared" si="150"/>
        <v>1</v>
      </c>
      <c r="AW823" s="87" t="str">
        <f t="shared" si="151"/>
        <v>Ninguna</v>
      </c>
      <c r="AX823" s="87" t="s">
        <v>75</v>
      </c>
      <c r="AY823" s="87"/>
      <c r="AZ823" s="87"/>
      <c r="BA823" s="91" t="s">
        <v>3836</v>
      </c>
      <c r="BB823" s="84"/>
      <c r="BC823" s="85"/>
      <c r="BD823" s="85"/>
    </row>
    <row r="824" spans="1:56" s="86" customFormat="1" ht="40.5" customHeight="1">
      <c r="A824" s="78">
        <v>819</v>
      </c>
      <c r="B824" s="79" t="s">
        <v>3856</v>
      </c>
      <c r="C824" s="88">
        <v>45508</v>
      </c>
      <c r="D824" s="89">
        <v>0.33333333333333331</v>
      </c>
      <c r="E824" s="87" t="s">
        <v>58</v>
      </c>
      <c r="F824" s="87" t="s">
        <v>3832</v>
      </c>
      <c r="G824" s="87" t="s">
        <v>62</v>
      </c>
      <c r="H824" s="90" t="s">
        <v>3833</v>
      </c>
      <c r="I824" s="90" t="s">
        <v>128</v>
      </c>
      <c r="J824" s="87" t="s">
        <v>816</v>
      </c>
      <c r="K824" s="87"/>
      <c r="L824" s="90" t="s">
        <v>3834</v>
      </c>
      <c r="M824" s="91">
        <v>3046010799</v>
      </c>
      <c r="N824" s="102" t="s">
        <v>3835</v>
      </c>
      <c r="O824" s="90" t="str">
        <f t="shared" si="133"/>
        <v>Chapinero</v>
      </c>
      <c r="P824" s="87" t="s">
        <v>221</v>
      </c>
      <c r="Q824" s="87"/>
      <c r="R824" s="87"/>
      <c r="S824" s="87"/>
      <c r="T824" s="87"/>
      <c r="U824" s="87"/>
      <c r="V824" s="90" t="str">
        <f t="shared" si="137"/>
        <v>Centro Ampliado</v>
      </c>
      <c r="W824" s="87" t="s">
        <v>415</v>
      </c>
      <c r="X824" s="87"/>
      <c r="Y824" s="87"/>
      <c r="Z824" s="87"/>
      <c r="AA824" s="87"/>
      <c r="AB824" s="87"/>
      <c r="AC824" s="90" t="str">
        <f t="shared" si="138"/>
        <v>Chapinero</v>
      </c>
      <c r="AD824" s="87" t="s">
        <v>221</v>
      </c>
      <c r="AE824" s="87"/>
      <c r="AF824" s="87"/>
      <c r="AG824" s="87"/>
      <c r="AH824" s="87"/>
      <c r="AI824" s="87"/>
      <c r="AJ824" s="87"/>
      <c r="AK824" s="87"/>
      <c r="AL824" s="87"/>
      <c r="AM824" s="87"/>
      <c r="AN824" s="90" t="s">
        <v>221</v>
      </c>
      <c r="AO824" s="90" t="s">
        <v>80</v>
      </c>
      <c r="AP824" s="82"/>
      <c r="AQ824" s="87" t="s">
        <v>59</v>
      </c>
      <c r="AR824" s="87" t="s">
        <v>80</v>
      </c>
      <c r="AS824" s="82"/>
      <c r="AT824" s="87">
        <v>0</v>
      </c>
      <c r="AU824" s="87">
        <v>1</v>
      </c>
      <c r="AV824" s="87">
        <f t="shared" si="150"/>
        <v>1</v>
      </c>
      <c r="AW824" s="87" t="str">
        <f t="shared" si="151"/>
        <v>Ninguna</v>
      </c>
      <c r="AX824" s="87" t="s">
        <v>75</v>
      </c>
      <c r="AY824" s="87"/>
      <c r="AZ824" s="87"/>
      <c r="BA824" s="91" t="s">
        <v>3836</v>
      </c>
      <c r="BB824" s="84"/>
      <c r="BC824" s="85"/>
      <c r="BD824" s="85"/>
    </row>
    <row r="825" spans="1:56" s="86" customFormat="1" ht="40.5" customHeight="1">
      <c r="A825" s="87">
        <v>820</v>
      </c>
      <c r="B825" s="79" t="s">
        <v>3857</v>
      </c>
      <c r="C825" s="88">
        <v>45508</v>
      </c>
      <c r="D825" s="89">
        <v>0.33333333333333331</v>
      </c>
      <c r="E825" s="87" t="s">
        <v>58</v>
      </c>
      <c r="F825" s="87" t="s">
        <v>3832</v>
      </c>
      <c r="G825" s="87" t="s">
        <v>62</v>
      </c>
      <c r="H825" s="90" t="s">
        <v>3833</v>
      </c>
      <c r="I825" s="90" t="s">
        <v>128</v>
      </c>
      <c r="J825" s="87" t="s">
        <v>816</v>
      </c>
      <c r="K825" s="87"/>
      <c r="L825" s="90" t="s">
        <v>3834</v>
      </c>
      <c r="M825" s="91">
        <v>3046010799</v>
      </c>
      <c r="N825" s="102" t="s">
        <v>3835</v>
      </c>
      <c r="O825" s="90" t="str">
        <f t="shared" si="133"/>
        <v>Usaquén</v>
      </c>
      <c r="P825" s="87" t="s">
        <v>428</v>
      </c>
      <c r="Q825" s="87"/>
      <c r="R825" s="87"/>
      <c r="S825" s="87"/>
      <c r="T825" s="87"/>
      <c r="U825" s="87"/>
      <c r="V825" s="90" t="str">
        <f t="shared" si="137"/>
        <v>Norte</v>
      </c>
      <c r="W825" s="87" t="s">
        <v>429</v>
      </c>
      <c r="X825" s="87"/>
      <c r="Y825" s="87"/>
      <c r="Z825" s="87"/>
      <c r="AA825" s="87"/>
      <c r="AB825" s="87"/>
      <c r="AC825" s="90" t="str">
        <f t="shared" si="138"/>
        <v>Usaquén</v>
      </c>
      <c r="AD825" s="87" t="s">
        <v>428</v>
      </c>
      <c r="AE825" s="87"/>
      <c r="AF825" s="87"/>
      <c r="AG825" s="87"/>
      <c r="AH825" s="87"/>
      <c r="AI825" s="87"/>
      <c r="AJ825" s="87"/>
      <c r="AK825" s="87"/>
      <c r="AL825" s="87"/>
      <c r="AM825" s="87"/>
      <c r="AN825" s="90" t="s">
        <v>428</v>
      </c>
      <c r="AO825" s="90" t="s">
        <v>80</v>
      </c>
      <c r="AP825" s="82"/>
      <c r="AQ825" s="87" t="s">
        <v>59</v>
      </c>
      <c r="AR825" s="87" t="s">
        <v>80</v>
      </c>
      <c r="AS825" s="82"/>
      <c r="AT825" s="87">
        <v>1</v>
      </c>
      <c r="AU825" s="87">
        <v>1</v>
      </c>
      <c r="AV825" s="87">
        <f t="shared" si="150"/>
        <v>2</v>
      </c>
      <c r="AW825" s="87" t="str">
        <f t="shared" si="151"/>
        <v>Ninguna</v>
      </c>
      <c r="AX825" s="87" t="s">
        <v>75</v>
      </c>
      <c r="AY825" s="87"/>
      <c r="AZ825" s="87"/>
      <c r="BA825" s="91" t="s">
        <v>3836</v>
      </c>
      <c r="BB825" s="84"/>
      <c r="BC825" s="85"/>
      <c r="BD825" s="85"/>
    </row>
    <row r="826" spans="1:56" s="86" customFormat="1" ht="40.5" customHeight="1">
      <c r="A826" s="78">
        <v>821</v>
      </c>
      <c r="B826" s="79" t="s">
        <v>3858</v>
      </c>
      <c r="C826" s="88">
        <v>45508</v>
      </c>
      <c r="D826" s="89">
        <v>0.33333333333333331</v>
      </c>
      <c r="E826" s="87" t="s">
        <v>58</v>
      </c>
      <c r="F826" s="87" t="s">
        <v>3832</v>
      </c>
      <c r="G826" s="87" t="s">
        <v>62</v>
      </c>
      <c r="H826" s="90" t="s">
        <v>3833</v>
      </c>
      <c r="I826" s="90" t="s">
        <v>128</v>
      </c>
      <c r="J826" s="87" t="s">
        <v>816</v>
      </c>
      <c r="K826" s="87"/>
      <c r="L826" s="90" t="s">
        <v>3834</v>
      </c>
      <c r="M826" s="91">
        <v>3046010799</v>
      </c>
      <c r="N826" s="102" t="s">
        <v>3835</v>
      </c>
      <c r="O826" s="90" t="str">
        <f t="shared" si="133"/>
        <v>Usaquén</v>
      </c>
      <c r="P826" s="87" t="s">
        <v>428</v>
      </c>
      <c r="Q826" s="87"/>
      <c r="R826" s="87"/>
      <c r="S826" s="87"/>
      <c r="T826" s="87"/>
      <c r="U826" s="87"/>
      <c r="V826" s="90" t="str">
        <f t="shared" si="137"/>
        <v>Norte</v>
      </c>
      <c r="W826" s="87" t="s">
        <v>429</v>
      </c>
      <c r="X826" s="87"/>
      <c r="Y826" s="87"/>
      <c r="Z826" s="87"/>
      <c r="AA826" s="87"/>
      <c r="AB826" s="87"/>
      <c r="AC826" s="90" t="str">
        <f t="shared" si="138"/>
        <v>Toberín</v>
      </c>
      <c r="AD826" s="87" t="s">
        <v>527</v>
      </c>
      <c r="AE826" s="87"/>
      <c r="AF826" s="87"/>
      <c r="AG826" s="87"/>
      <c r="AH826" s="87"/>
      <c r="AI826" s="87"/>
      <c r="AJ826" s="87"/>
      <c r="AK826" s="87"/>
      <c r="AL826" s="87"/>
      <c r="AM826" s="87"/>
      <c r="AN826" s="90" t="s">
        <v>527</v>
      </c>
      <c r="AO826" s="90" t="s">
        <v>80</v>
      </c>
      <c r="AP826" s="82"/>
      <c r="AQ826" s="87" t="s">
        <v>59</v>
      </c>
      <c r="AR826" s="87" t="s">
        <v>80</v>
      </c>
      <c r="AS826" s="82"/>
      <c r="AT826" s="87">
        <v>6</v>
      </c>
      <c r="AU826" s="87">
        <v>1</v>
      </c>
      <c r="AV826" s="87">
        <f t="shared" si="150"/>
        <v>7</v>
      </c>
      <c r="AW826" s="87" t="str">
        <f t="shared" si="151"/>
        <v>Ninguna</v>
      </c>
      <c r="AX826" s="87" t="s">
        <v>75</v>
      </c>
      <c r="AY826" s="87"/>
      <c r="AZ826" s="87"/>
      <c r="BA826" s="91" t="s">
        <v>3836</v>
      </c>
      <c r="BB826" s="84"/>
      <c r="BC826" s="85"/>
      <c r="BD826" s="85"/>
    </row>
    <row r="827" spans="1:56" s="86" customFormat="1" ht="40.5" customHeight="1">
      <c r="A827" s="87">
        <v>822</v>
      </c>
      <c r="B827" s="79" t="s">
        <v>3859</v>
      </c>
      <c r="C827" s="88">
        <v>45508</v>
      </c>
      <c r="D827" s="89">
        <v>0.33333333333333331</v>
      </c>
      <c r="E827" s="87" t="s">
        <v>58</v>
      </c>
      <c r="F827" s="87" t="s">
        <v>3832</v>
      </c>
      <c r="G827" s="87" t="s">
        <v>62</v>
      </c>
      <c r="H827" s="90" t="s">
        <v>3833</v>
      </c>
      <c r="I827" s="90" t="s">
        <v>128</v>
      </c>
      <c r="J827" s="87" t="s">
        <v>816</v>
      </c>
      <c r="K827" s="87"/>
      <c r="L827" s="90" t="s">
        <v>3834</v>
      </c>
      <c r="M827" s="91">
        <v>3046010799</v>
      </c>
      <c r="N827" s="102" t="s">
        <v>3835</v>
      </c>
      <c r="O827" s="90" t="str">
        <f t="shared" si="133"/>
        <v>Suba</v>
      </c>
      <c r="P827" s="87" t="s">
        <v>394</v>
      </c>
      <c r="Q827" s="87"/>
      <c r="R827" s="87"/>
      <c r="S827" s="87"/>
      <c r="T827" s="87"/>
      <c r="U827" s="87"/>
      <c r="V827" s="90" t="str">
        <f t="shared" si="137"/>
        <v>Norte</v>
      </c>
      <c r="W827" s="87" t="s">
        <v>429</v>
      </c>
      <c r="X827" s="87"/>
      <c r="Y827" s="87"/>
      <c r="Z827" s="87"/>
      <c r="AA827" s="87"/>
      <c r="AB827" s="87"/>
      <c r="AC827" s="90" t="str">
        <f t="shared" si="138"/>
        <v>Niza</v>
      </c>
      <c r="AD827" s="87" t="s">
        <v>571</v>
      </c>
      <c r="AE827" s="87"/>
      <c r="AF827" s="87"/>
      <c r="AG827" s="87"/>
      <c r="AH827" s="87"/>
      <c r="AI827" s="87"/>
      <c r="AJ827" s="87"/>
      <c r="AK827" s="87"/>
      <c r="AL827" s="87"/>
      <c r="AM827" s="87"/>
      <c r="AN827" s="90" t="s">
        <v>571</v>
      </c>
      <c r="AO827" s="90" t="s">
        <v>80</v>
      </c>
      <c r="AP827" s="82"/>
      <c r="AQ827" s="87" t="s">
        <v>59</v>
      </c>
      <c r="AR827" s="87" t="s">
        <v>80</v>
      </c>
      <c r="AS827" s="82"/>
      <c r="AT827" s="87">
        <v>0</v>
      </c>
      <c r="AU827" s="87">
        <v>1</v>
      </c>
      <c r="AV827" s="87">
        <f t="shared" si="150"/>
        <v>1</v>
      </c>
      <c r="AW827" s="87" t="str">
        <f t="shared" si="151"/>
        <v>Ninguna</v>
      </c>
      <c r="AX827" s="87" t="s">
        <v>75</v>
      </c>
      <c r="AY827" s="87"/>
      <c r="AZ827" s="87"/>
      <c r="BA827" s="91" t="s">
        <v>3836</v>
      </c>
      <c r="BB827" s="84"/>
      <c r="BC827" s="85"/>
      <c r="BD827" s="85"/>
    </row>
    <row r="828" spans="1:56" s="86" customFormat="1" ht="40.5" customHeight="1">
      <c r="A828" s="78">
        <v>823</v>
      </c>
      <c r="B828" s="79" t="s">
        <v>3860</v>
      </c>
      <c r="C828" s="88">
        <v>45508</v>
      </c>
      <c r="D828" s="89">
        <v>0.33333333333333331</v>
      </c>
      <c r="E828" s="87" t="s">
        <v>58</v>
      </c>
      <c r="F828" s="87" t="s">
        <v>3832</v>
      </c>
      <c r="G828" s="87" t="s">
        <v>62</v>
      </c>
      <c r="H828" s="90" t="s">
        <v>3833</v>
      </c>
      <c r="I828" s="90" t="s">
        <v>128</v>
      </c>
      <c r="J828" s="87" t="s">
        <v>816</v>
      </c>
      <c r="K828" s="87"/>
      <c r="L828" s="90" t="s">
        <v>3834</v>
      </c>
      <c r="M828" s="91">
        <v>3046010799</v>
      </c>
      <c r="N828" s="102" t="s">
        <v>3835</v>
      </c>
      <c r="O828" s="90" t="str">
        <f t="shared" si="133"/>
        <v>Suba</v>
      </c>
      <c r="P828" s="87" t="s">
        <v>394</v>
      </c>
      <c r="Q828" s="87"/>
      <c r="R828" s="87"/>
      <c r="S828" s="87"/>
      <c r="T828" s="87"/>
      <c r="U828" s="87"/>
      <c r="V828" s="90" t="str">
        <f t="shared" si="137"/>
        <v>Noroccidente</v>
      </c>
      <c r="W828" s="87" t="s">
        <v>395</v>
      </c>
      <c r="X828" s="87"/>
      <c r="Y828" s="87"/>
      <c r="Z828" s="87"/>
      <c r="AA828" s="87"/>
      <c r="AB828" s="87"/>
      <c r="AC828" s="90" t="str">
        <f t="shared" si="138"/>
        <v>Suba Rincón</v>
      </c>
      <c r="AD828" s="87" t="s">
        <v>396</v>
      </c>
      <c r="AE828" s="87"/>
      <c r="AF828" s="87"/>
      <c r="AG828" s="87"/>
      <c r="AH828" s="87"/>
      <c r="AI828" s="87"/>
      <c r="AJ828" s="87"/>
      <c r="AK828" s="87"/>
      <c r="AL828" s="87"/>
      <c r="AM828" s="87"/>
      <c r="AN828" s="90" t="s">
        <v>3861</v>
      </c>
      <c r="AO828" s="90" t="s">
        <v>80</v>
      </c>
      <c r="AP828" s="82"/>
      <c r="AQ828" s="87" t="s">
        <v>59</v>
      </c>
      <c r="AR828" s="87" t="s">
        <v>80</v>
      </c>
      <c r="AS828" s="82"/>
      <c r="AT828" s="87">
        <v>0</v>
      </c>
      <c r="AU828" s="87">
        <v>1</v>
      </c>
      <c r="AV828" s="87">
        <f t="shared" si="150"/>
        <v>1</v>
      </c>
      <c r="AW828" s="87" t="str">
        <f t="shared" si="151"/>
        <v>Ninguna</v>
      </c>
      <c r="AX828" s="87" t="s">
        <v>75</v>
      </c>
      <c r="AY828" s="87"/>
      <c r="AZ828" s="87"/>
      <c r="BA828" s="91" t="s">
        <v>3836</v>
      </c>
      <c r="BB828" s="84"/>
      <c r="BC828" s="85"/>
      <c r="BD828" s="85"/>
    </row>
    <row r="829" spans="1:56" s="86" customFormat="1" ht="40.5" customHeight="1">
      <c r="A829" s="87">
        <v>824</v>
      </c>
      <c r="B829" s="79" t="s">
        <v>3862</v>
      </c>
      <c r="C829" s="88">
        <v>45508</v>
      </c>
      <c r="D829" s="89">
        <v>0.33333333333333331</v>
      </c>
      <c r="E829" s="87" t="s">
        <v>58</v>
      </c>
      <c r="F829" s="87" t="s">
        <v>3832</v>
      </c>
      <c r="G829" s="87" t="s">
        <v>62</v>
      </c>
      <c r="H829" s="90" t="s">
        <v>3833</v>
      </c>
      <c r="I829" s="90" t="s">
        <v>128</v>
      </c>
      <c r="J829" s="87" t="s">
        <v>816</v>
      </c>
      <c r="K829" s="87"/>
      <c r="L829" s="90" t="s">
        <v>3834</v>
      </c>
      <c r="M829" s="91">
        <v>3046010799</v>
      </c>
      <c r="N829" s="102" t="s">
        <v>3835</v>
      </c>
      <c r="O829" s="90" t="str">
        <f t="shared" si="133"/>
        <v>Engativá</v>
      </c>
      <c r="P829" s="87" t="s">
        <v>123</v>
      </c>
      <c r="Q829" s="87"/>
      <c r="R829" s="87"/>
      <c r="S829" s="87"/>
      <c r="T829" s="87"/>
      <c r="U829" s="87"/>
      <c r="V829" s="90" t="str">
        <f t="shared" si="137"/>
        <v>Occidente</v>
      </c>
      <c r="W829" s="87" t="s">
        <v>124</v>
      </c>
      <c r="X829" s="87"/>
      <c r="Y829" s="87"/>
      <c r="Z829" s="87"/>
      <c r="AA829" s="87"/>
      <c r="AB829" s="87"/>
      <c r="AC829" s="90" t="str">
        <f t="shared" si="138"/>
        <v>Tabora</v>
      </c>
      <c r="AD829" s="87" t="s">
        <v>257</v>
      </c>
      <c r="AE829" s="87"/>
      <c r="AF829" s="87"/>
      <c r="AG829" s="87"/>
      <c r="AH829" s="87"/>
      <c r="AI829" s="87"/>
      <c r="AJ829" s="87"/>
      <c r="AK829" s="87"/>
      <c r="AL829" s="87"/>
      <c r="AM829" s="87"/>
      <c r="AN829" s="90" t="s">
        <v>257</v>
      </c>
      <c r="AO829" s="90" t="s">
        <v>80</v>
      </c>
      <c r="AP829" s="82"/>
      <c r="AQ829" s="87" t="s">
        <v>59</v>
      </c>
      <c r="AR829" s="87" t="s">
        <v>80</v>
      </c>
      <c r="AS829" s="82"/>
      <c r="AT829" s="87">
        <v>8</v>
      </c>
      <c r="AU829" s="87">
        <v>1</v>
      </c>
      <c r="AV829" s="87">
        <f t="shared" si="150"/>
        <v>9</v>
      </c>
      <c r="AW829" s="87" t="str">
        <f t="shared" si="151"/>
        <v>Ninguna</v>
      </c>
      <c r="AX829" s="87" t="s">
        <v>75</v>
      </c>
      <c r="AY829" s="87"/>
      <c r="AZ829" s="87"/>
      <c r="BA829" s="91" t="s">
        <v>3836</v>
      </c>
      <c r="BB829" s="84"/>
      <c r="BC829" s="85"/>
      <c r="BD829" s="85"/>
    </row>
    <row r="830" spans="1:56" s="86" customFormat="1" ht="40.5" customHeight="1">
      <c r="A830" s="78">
        <v>825</v>
      </c>
      <c r="B830" s="79" t="s">
        <v>3863</v>
      </c>
      <c r="C830" s="88">
        <v>45508</v>
      </c>
      <c r="D830" s="89">
        <v>0.33333333333333331</v>
      </c>
      <c r="E830" s="87" t="s">
        <v>58</v>
      </c>
      <c r="F830" s="87" t="s">
        <v>3832</v>
      </c>
      <c r="G830" s="87" t="s">
        <v>62</v>
      </c>
      <c r="H830" s="90" t="s">
        <v>3833</v>
      </c>
      <c r="I830" s="90" t="s">
        <v>128</v>
      </c>
      <c r="J830" s="87" t="s">
        <v>816</v>
      </c>
      <c r="K830" s="87"/>
      <c r="L830" s="90" t="s">
        <v>3834</v>
      </c>
      <c r="M830" s="91">
        <v>3046010799</v>
      </c>
      <c r="N830" s="102" t="s">
        <v>3835</v>
      </c>
      <c r="O830" s="90" t="str">
        <f t="shared" si="133"/>
        <v>Engativá</v>
      </c>
      <c r="P830" s="87" t="s">
        <v>123</v>
      </c>
      <c r="Q830" s="87"/>
      <c r="R830" s="87"/>
      <c r="S830" s="87"/>
      <c r="T830" s="87"/>
      <c r="U830" s="87"/>
      <c r="V830" s="90" t="str">
        <f t="shared" si="137"/>
        <v>Occidente</v>
      </c>
      <c r="W830" s="87" t="s">
        <v>124</v>
      </c>
      <c r="X830" s="87"/>
      <c r="Y830" s="87"/>
      <c r="Z830" s="87"/>
      <c r="AA830" s="87"/>
      <c r="AB830" s="87"/>
      <c r="AC830" s="90" t="str">
        <f t="shared" si="138"/>
        <v>Salitre</v>
      </c>
      <c r="AD830" s="87" t="s">
        <v>258</v>
      </c>
      <c r="AE830" s="87"/>
      <c r="AF830" s="87"/>
      <c r="AG830" s="87"/>
      <c r="AH830" s="87"/>
      <c r="AI830" s="87"/>
      <c r="AJ830" s="87"/>
      <c r="AK830" s="87"/>
      <c r="AL830" s="87"/>
      <c r="AM830" s="87"/>
      <c r="AN830" s="90" t="s">
        <v>258</v>
      </c>
      <c r="AO830" s="90" t="s">
        <v>80</v>
      </c>
      <c r="AP830" s="82"/>
      <c r="AQ830" s="87" t="s">
        <v>59</v>
      </c>
      <c r="AR830" s="87" t="s">
        <v>80</v>
      </c>
      <c r="AS830" s="82"/>
      <c r="AT830" s="87">
        <v>0</v>
      </c>
      <c r="AU830" s="87">
        <v>1</v>
      </c>
      <c r="AV830" s="87">
        <f t="shared" si="150"/>
        <v>1</v>
      </c>
      <c r="AW830" s="87" t="str">
        <f t="shared" si="151"/>
        <v>Ninguna</v>
      </c>
      <c r="AX830" s="87" t="s">
        <v>75</v>
      </c>
      <c r="AY830" s="87"/>
      <c r="AZ830" s="87"/>
      <c r="BA830" s="91" t="s">
        <v>3836</v>
      </c>
      <c r="BB830" s="84"/>
      <c r="BC830" s="85"/>
      <c r="BD830" s="85"/>
    </row>
    <row r="831" spans="1:56" s="86" customFormat="1" ht="40.5" customHeight="1">
      <c r="A831" s="87">
        <v>826</v>
      </c>
      <c r="B831" s="79" t="s">
        <v>3864</v>
      </c>
      <c r="C831" s="88">
        <v>45508</v>
      </c>
      <c r="D831" s="89">
        <v>0.33333333333333331</v>
      </c>
      <c r="E831" s="87" t="s">
        <v>58</v>
      </c>
      <c r="F831" s="87" t="s">
        <v>3832</v>
      </c>
      <c r="G831" s="87" t="s">
        <v>62</v>
      </c>
      <c r="H831" s="90" t="s">
        <v>3833</v>
      </c>
      <c r="I831" s="90" t="s">
        <v>128</v>
      </c>
      <c r="J831" s="87" t="s">
        <v>816</v>
      </c>
      <c r="K831" s="87"/>
      <c r="L831" s="90" t="s">
        <v>3834</v>
      </c>
      <c r="M831" s="91">
        <v>3046010799</v>
      </c>
      <c r="N831" s="102" t="s">
        <v>3835</v>
      </c>
      <c r="O831" s="90" t="str">
        <f t="shared" si="133"/>
        <v>Puente Aranda</v>
      </c>
      <c r="P831" s="87" t="s">
        <v>823</v>
      </c>
      <c r="Q831" s="87"/>
      <c r="R831" s="87"/>
      <c r="S831" s="87"/>
      <c r="T831" s="87"/>
      <c r="U831" s="87"/>
      <c r="V831" s="90" t="str">
        <f t="shared" si="137"/>
        <v>Centro Ampliado</v>
      </c>
      <c r="W831" s="87" t="s">
        <v>415</v>
      </c>
      <c r="X831" s="87"/>
      <c r="Y831" s="87"/>
      <c r="Z831" s="87"/>
      <c r="AA831" s="87"/>
      <c r="AB831" s="87"/>
      <c r="AC831" s="90" t="str">
        <f t="shared" si="138"/>
        <v>Puente Aranda</v>
      </c>
      <c r="AD831" s="87" t="s">
        <v>823</v>
      </c>
      <c r="AE831" s="87"/>
      <c r="AF831" s="87"/>
      <c r="AG831" s="87"/>
      <c r="AH831" s="87"/>
      <c r="AI831" s="87"/>
      <c r="AJ831" s="87"/>
      <c r="AK831" s="87"/>
      <c r="AL831" s="87"/>
      <c r="AM831" s="87"/>
      <c r="AN831" s="90" t="s">
        <v>823</v>
      </c>
      <c r="AO831" s="90" t="s">
        <v>80</v>
      </c>
      <c r="AP831" s="82"/>
      <c r="AQ831" s="87" t="s">
        <v>59</v>
      </c>
      <c r="AR831" s="87" t="s">
        <v>80</v>
      </c>
      <c r="AS831" s="82"/>
      <c r="AT831" s="87">
        <v>0</v>
      </c>
      <c r="AU831" s="87">
        <v>1</v>
      </c>
      <c r="AV831" s="87">
        <f t="shared" si="150"/>
        <v>1</v>
      </c>
      <c r="AW831" s="87" t="str">
        <f t="shared" si="151"/>
        <v>Ninguna</v>
      </c>
      <c r="AX831" s="87" t="s">
        <v>75</v>
      </c>
      <c r="AY831" s="87"/>
      <c r="AZ831" s="87"/>
      <c r="BA831" s="91" t="s">
        <v>3836</v>
      </c>
      <c r="BB831" s="84"/>
      <c r="BC831" s="85"/>
      <c r="BD831" s="85"/>
    </row>
    <row r="832" spans="1:56" s="86" customFormat="1" ht="40.5" customHeight="1">
      <c r="A832" s="78">
        <v>827</v>
      </c>
      <c r="B832" s="79" t="s">
        <v>3865</v>
      </c>
      <c r="C832" s="88">
        <v>45508</v>
      </c>
      <c r="D832" s="89">
        <v>0.33333333333333331</v>
      </c>
      <c r="E832" s="87" t="s">
        <v>58</v>
      </c>
      <c r="F832" s="87" t="s">
        <v>3832</v>
      </c>
      <c r="G832" s="87" t="s">
        <v>62</v>
      </c>
      <c r="H832" s="90" t="s">
        <v>3833</v>
      </c>
      <c r="I832" s="90" t="s">
        <v>128</v>
      </c>
      <c r="J832" s="87" t="s">
        <v>816</v>
      </c>
      <c r="K832" s="87"/>
      <c r="L832" s="90" t="s">
        <v>3834</v>
      </c>
      <c r="M832" s="91">
        <v>3046010799</v>
      </c>
      <c r="N832" s="102" t="s">
        <v>3835</v>
      </c>
      <c r="O832" s="90" t="str">
        <f t="shared" si="133"/>
        <v>Teusaquillo</v>
      </c>
      <c r="P832" s="87" t="s">
        <v>665</v>
      </c>
      <c r="Q832" s="87"/>
      <c r="R832" s="87"/>
      <c r="S832" s="87"/>
      <c r="T832" s="87"/>
      <c r="U832" s="87"/>
      <c r="V832" s="90" t="str">
        <f t="shared" si="137"/>
        <v>Centro Ampliado</v>
      </c>
      <c r="W832" s="87" t="s">
        <v>415</v>
      </c>
      <c r="X832" s="87"/>
      <c r="Y832" s="87"/>
      <c r="Z832" s="87"/>
      <c r="AA832" s="87"/>
      <c r="AB832" s="87"/>
      <c r="AC832" s="90" t="str">
        <f t="shared" si="138"/>
        <v>Teusaquillo</v>
      </c>
      <c r="AD832" s="87" t="s">
        <v>665</v>
      </c>
      <c r="AE832" s="87"/>
      <c r="AF832" s="87"/>
      <c r="AG832" s="87"/>
      <c r="AH832" s="87"/>
      <c r="AI832" s="87"/>
      <c r="AJ832" s="87"/>
      <c r="AK832" s="87"/>
      <c r="AL832" s="87"/>
      <c r="AM832" s="87"/>
      <c r="AN832" s="90" t="s">
        <v>665</v>
      </c>
      <c r="AO832" s="90" t="s">
        <v>80</v>
      </c>
      <c r="AP832" s="82"/>
      <c r="AQ832" s="87" t="s">
        <v>59</v>
      </c>
      <c r="AR832" s="87" t="s">
        <v>80</v>
      </c>
      <c r="AS832" s="82"/>
      <c r="AT832" s="87">
        <v>0</v>
      </c>
      <c r="AU832" s="87">
        <v>1</v>
      </c>
      <c r="AV832" s="87">
        <f t="shared" si="150"/>
        <v>1</v>
      </c>
      <c r="AW832" s="87" t="str">
        <f t="shared" si="151"/>
        <v>Ninguna</v>
      </c>
      <c r="AX832" s="87" t="s">
        <v>75</v>
      </c>
      <c r="AY832" s="87"/>
      <c r="AZ832" s="87"/>
      <c r="BA832" s="91" t="s">
        <v>3836</v>
      </c>
      <c r="BB832" s="84"/>
      <c r="BC832" s="85"/>
      <c r="BD832" s="85"/>
    </row>
    <row r="833" spans="1:56" s="86" customFormat="1" ht="40.5" customHeight="1">
      <c r="A833" s="87">
        <v>828</v>
      </c>
      <c r="B833" s="79" t="s">
        <v>3866</v>
      </c>
      <c r="C833" s="88">
        <v>45508</v>
      </c>
      <c r="D833" s="89">
        <v>0.33333333333333331</v>
      </c>
      <c r="E833" s="87" t="s">
        <v>58</v>
      </c>
      <c r="F833" s="87" t="s">
        <v>3832</v>
      </c>
      <c r="G833" s="87" t="s">
        <v>62</v>
      </c>
      <c r="H833" s="90" t="s">
        <v>3833</v>
      </c>
      <c r="I833" s="90" t="s">
        <v>128</v>
      </c>
      <c r="J833" s="87" t="s">
        <v>816</v>
      </c>
      <c r="K833" s="87"/>
      <c r="L833" s="90" t="s">
        <v>3834</v>
      </c>
      <c r="M833" s="91">
        <v>3046010799</v>
      </c>
      <c r="N833" s="102" t="s">
        <v>3835</v>
      </c>
      <c r="O833" s="90" t="str">
        <f t="shared" ref="O833:O843" si="152">_xlfn.TEXTJOIN(", ",TRUE,$P833:$T833)</f>
        <v>Barrios Unidos</v>
      </c>
      <c r="P833" s="87" t="s">
        <v>686</v>
      </c>
      <c r="Q833" s="87"/>
      <c r="R833" s="87"/>
      <c r="S833" s="87"/>
      <c r="T833" s="87"/>
      <c r="U833" s="87"/>
      <c r="V833" s="90" t="str">
        <f t="shared" ref="V833:V859" si="153">_xlfn.TEXTJOIN(", ",TRUE,$W833:$AB833)</f>
        <v>Centro Ampliado</v>
      </c>
      <c r="W833" s="87" t="s">
        <v>415</v>
      </c>
      <c r="X833" s="87"/>
      <c r="Y833" s="87"/>
      <c r="Z833" s="87"/>
      <c r="AA833" s="87"/>
      <c r="AB833" s="87"/>
      <c r="AC833" s="90" t="str">
        <f t="shared" ref="AC833:AC859" si="154">_xlfn.TEXTJOIN(", ",TRUE,$AD833:$AM833)</f>
        <v>Barrios Unidos</v>
      </c>
      <c r="AD833" s="87" t="s">
        <v>686</v>
      </c>
      <c r="AE833" s="87"/>
      <c r="AF833" s="87"/>
      <c r="AG833" s="87"/>
      <c r="AH833" s="87"/>
      <c r="AI833" s="87"/>
      <c r="AJ833" s="87"/>
      <c r="AK833" s="87"/>
      <c r="AL833" s="87"/>
      <c r="AM833" s="87"/>
      <c r="AN833" s="90" t="s">
        <v>686</v>
      </c>
      <c r="AO833" s="90" t="s">
        <v>80</v>
      </c>
      <c r="AP833" s="82"/>
      <c r="AQ833" s="87" t="s">
        <v>59</v>
      </c>
      <c r="AR833" s="87" t="s">
        <v>80</v>
      </c>
      <c r="AS833" s="82"/>
      <c r="AT833" s="87">
        <v>0</v>
      </c>
      <c r="AU833" s="87">
        <v>1</v>
      </c>
      <c r="AV833" s="87">
        <f t="shared" si="150"/>
        <v>1</v>
      </c>
      <c r="AW833" s="87" t="str">
        <f t="shared" si="151"/>
        <v>Ninguna</v>
      </c>
      <c r="AX833" s="87" t="s">
        <v>75</v>
      </c>
      <c r="AY833" s="87"/>
      <c r="AZ833" s="87"/>
      <c r="BA833" s="91" t="s">
        <v>3836</v>
      </c>
      <c r="BB833" s="84"/>
      <c r="BC833" s="85"/>
      <c r="BD833" s="85"/>
    </row>
    <row r="834" spans="1:56" s="86" customFormat="1" ht="47.25" customHeight="1">
      <c r="A834" s="78">
        <v>829</v>
      </c>
      <c r="B834" s="79" t="s">
        <v>2908</v>
      </c>
      <c r="C834" s="88">
        <v>45509</v>
      </c>
      <c r="D834" s="89">
        <v>0.375</v>
      </c>
      <c r="E834" s="87" t="s">
        <v>58</v>
      </c>
      <c r="F834" s="87" t="s">
        <v>1750</v>
      </c>
      <c r="G834" s="87" t="s">
        <v>62</v>
      </c>
      <c r="H834" s="90" t="s">
        <v>3867</v>
      </c>
      <c r="I834" s="90" t="s">
        <v>118</v>
      </c>
      <c r="J834" s="87" t="s">
        <v>70</v>
      </c>
      <c r="K834" s="87"/>
      <c r="L834" s="90" t="s">
        <v>3868</v>
      </c>
      <c r="M834" s="90" t="s">
        <v>3869</v>
      </c>
      <c r="N834" s="90" t="s">
        <v>3870</v>
      </c>
      <c r="O834" s="90" t="str">
        <f t="shared" si="152"/>
        <v>Distrital</v>
      </c>
      <c r="P834" s="87" t="s">
        <v>73</v>
      </c>
      <c r="Q834" s="87"/>
      <c r="R834" s="87"/>
      <c r="S834" s="87"/>
      <c r="T834" s="87"/>
      <c r="U834" s="87"/>
      <c r="V834" s="90" t="str">
        <f t="shared" si="153"/>
        <v>Distrital</v>
      </c>
      <c r="W834" s="87" t="s">
        <v>73</v>
      </c>
      <c r="X834" s="87"/>
      <c r="Y834" s="87"/>
      <c r="Z834" s="87"/>
      <c r="AA834" s="87"/>
      <c r="AB834" s="87"/>
      <c r="AC834" s="90" t="str">
        <f t="shared" si="154"/>
        <v>Distrital</v>
      </c>
      <c r="AD834" s="87" t="s">
        <v>73</v>
      </c>
      <c r="AE834" s="87"/>
      <c r="AF834" s="87"/>
      <c r="AG834" s="87"/>
      <c r="AH834" s="87"/>
      <c r="AI834" s="87"/>
      <c r="AJ834" s="87"/>
      <c r="AK834" s="87"/>
      <c r="AL834" s="87"/>
      <c r="AM834" s="87"/>
      <c r="AN834" s="90" t="s">
        <v>3871</v>
      </c>
      <c r="AO834" s="90" t="s">
        <v>3872</v>
      </c>
      <c r="AP834" s="82"/>
      <c r="AQ834" s="87" t="s">
        <v>59</v>
      </c>
      <c r="AR834" s="87" t="s">
        <v>80</v>
      </c>
      <c r="AS834" s="82"/>
      <c r="AT834" s="87">
        <v>7</v>
      </c>
      <c r="AU834" s="87">
        <v>3</v>
      </c>
      <c r="AV834" s="87">
        <f>AT834+AU834</f>
        <v>10</v>
      </c>
      <c r="AW834" s="87" t="str">
        <f t="shared" si="151"/>
        <v>Ninguna</v>
      </c>
      <c r="AX834" s="87" t="s">
        <v>75</v>
      </c>
      <c r="AY834" s="87"/>
      <c r="AZ834" s="87"/>
      <c r="BA834" s="91" t="s">
        <v>3873</v>
      </c>
      <c r="BB834" s="84"/>
      <c r="BC834" s="85"/>
      <c r="BD834" s="85"/>
    </row>
    <row r="835" spans="1:56" s="86" customFormat="1" ht="47.25" customHeight="1">
      <c r="A835" s="87">
        <v>830</v>
      </c>
      <c r="B835" s="79" t="s">
        <v>3874</v>
      </c>
      <c r="C835" s="88">
        <v>45509</v>
      </c>
      <c r="D835" s="89">
        <v>0.39583333333333331</v>
      </c>
      <c r="E835" s="87" t="s">
        <v>58</v>
      </c>
      <c r="F835" s="87" t="s">
        <v>116</v>
      </c>
      <c r="G835" s="87" t="s">
        <v>62</v>
      </c>
      <c r="H835" s="90" t="s">
        <v>3875</v>
      </c>
      <c r="I835" s="90" t="s">
        <v>118</v>
      </c>
      <c r="J835" s="87" t="s">
        <v>70</v>
      </c>
      <c r="K835" s="87" t="s">
        <v>104</v>
      </c>
      <c r="L835" s="90" t="s">
        <v>2441</v>
      </c>
      <c r="M835" s="90" t="s">
        <v>72</v>
      </c>
      <c r="N835" s="90" t="s">
        <v>2016</v>
      </c>
      <c r="O835" s="90" t="str">
        <f t="shared" si="152"/>
        <v>Kennedy</v>
      </c>
      <c r="P835" s="87" t="s">
        <v>473</v>
      </c>
      <c r="Q835" s="87"/>
      <c r="R835" s="87"/>
      <c r="S835" s="87"/>
      <c r="T835" s="87"/>
      <c r="U835" s="87"/>
      <c r="V835" s="90" t="str">
        <f t="shared" si="153"/>
        <v>Suroccidente</v>
      </c>
      <c r="W835" s="87" t="s">
        <v>474</v>
      </c>
      <c r="X835" s="87"/>
      <c r="Y835" s="87"/>
      <c r="Z835" s="87"/>
      <c r="AA835" s="87"/>
      <c r="AB835" s="87"/>
      <c r="AC835" s="90" t="str">
        <f t="shared" si="154"/>
        <v>Patio Bonito, Tintal</v>
      </c>
      <c r="AD835" s="87" t="s">
        <v>639</v>
      </c>
      <c r="AE835" s="87" t="s">
        <v>1134</v>
      </c>
      <c r="AF835" s="87"/>
      <c r="AG835" s="87"/>
      <c r="AH835" s="87"/>
      <c r="AI835" s="87"/>
      <c r="AJ835" s="87"/>
      <c r="AK835" s="87"/>
      <c r="AL835" s="87"/>
      <c r="AM835" s="87"/>
      <c r="AN835" s="90" t="s">
        <v>473</v>
      </c>
      <c r="AO835" s="90" t="s">
        <v>3876</v>
      </c>
      <c r="AP835" s="82"/>
      <c r="AQ835" s="87" t="s">
        <v>59</v>
      </c>
      <c r="AR835" s="87" t="s">
        <v>80</v>
      </c>
      <c r="AS835" s="82"/>
      <c r="AT835" s="87">
        <v>10</v>
      </c>
      <c r="AU835" s="87">
        <v>4</v>
      </c>
      <c r="AV835" s="87">
        <f t="shared" si="150"/>
        <v>14</v>
      </c>
      <c r="AW835" s="87" t="str">
        <f t="shared" si="151"/>
        <v>Horarios Acordes</v>
      </c>
      <c r="AX835" s="87" t="s">
        <v>213</v>
      </c>
      <c r="AY835" s="87"/>
      <c r="AZ835" s="87"/>
      <c r="BA835" s="91" t="s">
        <v>3877</v>
      </c>
      <c r="BB835" s="84"/>
      <c r="BC835" s="85"/>
      <c r="BD835" s="85"/>
    </row>
    <row r="836" spans="1:56" s="86" customFormat="1" ht="57" customHeight="1">
      <c r="A836" s="78">
        <v>831</v>
      </c>
      <c r="B836" s="79" t="s">
        <v>3878</v>
      </c>
      <c r="C836" s="88">
        <v>45509</v>
      </c>
      <c r="D836" s="89">
        <v>0.5625</v>
      </c>
      <c r="E836" s="87" t="s">
        <v>58</v>
      </c>
      <c r="F836" s="87" t="s">
        <v>61</v>
      </c>
      <c r="G836" s="87" t="s">
        <v>62</v>
      </c>
      <c r="H836" s="90" t="s">
        <v>3879</v>
      </c>
      <c r="I836" s="90" t="s">
        <v>128</v>
      </c>
      <c r="J836" s="87" t="s">
        <v>816</v>
      </c>
      <c r="K836" s="87"/>
      <c r="L836" s="90" t="s">
        <v>3880</v>
      </c>
      <c r="M836" s="91" t="s">
        <v>72</v>
      </c>
      <c r="N836" s="90" t="s">
        <v>72</v>
      </c>
      <c r="O836" s="90" t="str">
        <f t="shared" si="152"/>
        <v>Distrital</v>
      </c>
      <c r="P836" s="87" t="s">
        <v>73</v>
      </c>
      <c r="Q836" s="87"/>
      <c r="R836" s="87"/>
      <c r="S836" s="87"/>
      <c r="T836" s="87"/>
      <c r="U836" s="87"/>
      <c r="V836" s="90" t="str">
        <f t="shared" si="153"/>
        <v>Distrital</v>
      </c>
      <c r="W836" s="87" t="s">
        <v>73</v>
      </c>
      <c r="X836" s="87"/>
      <c r="Y836" s="87"/>
      <c r="Z836" s="87"/>
      <c r="AA836" s="87"/>
      <c r="AB836" s="87"/>
      <c r="AC836" s="90" t="str">
        <f t="shared" si="154"/>
        <v>Distrital</v>
      </c>
      <c r="AD836" s="87" t="s">
        <v>73</v>
      </c>
      <c r="AE836" s="87"/>
      <c r="AF836" s="87"/>
      <c r="AG836" s="87"/>
      <c r="AH836" s="87"/>
      <c r="AI836" s="87"/>
      <c r="AJ836" s="87"/>
      <c r="AK836" s="87"/>
      <c r="AL836" s="87"/>
      <c r="AM836" s="87"/>
      <c r="AN836" s="90" t="s">
        <v>72</v>
      </c>
      <c r="AO836" s="90" t="s">
        <v>72</v>
      </c>
      <c r="AP836" s="82"/>
      <c r="AQ836" s="87" t="s">
        <v>60</v>
      </c>
      <c r="AR836" s="87" t="s">
        <v>2854</v>
      </c>
      <c r="AS836" s="82"/>
      <c r="AT836" s="87">
        <v>10</v>
      </c>
      <c r="AU836" s="87">
        <v>3</v>
      </c>
      <c r="AV836" s="87">
        <f t="shared" si="150"/>
        <v>13</v>
      </c>
      <c r="AW836" s="87" t="str">
        <f t="shared" si="151"/>
        <v>Contenidos adaptados</v>
      </c>
      <c r="AX836" s="87" t="s">
        <v>212</v>
      </c>
      <c r="AY836" s="87"/>
      <c r="AZ836" s="87"/>
      <c r="BA836" s="91" t="s">
        <v>3881</v>
      </c>
      <c r="BB836" s="84"/>
      <c r="BC836" s="85"/>
      <c r="BD836" s="85"/>
    </row>
    <row r="837" spans="1:56" s="86" customFormat="1" ht="57" customHeight="1">
      <c r="A837" s="87">
        <v>832</v>
      </c>
      <c r="B837" s="79" t="s">
        <v>3882</v>
      </c>
      <c r="C837" s="88">
        <v>45512</v>
      </c>
      <c r="D837" s="89">
        <v>0.45833333333333331</v>
      </c>
      <c r="E837" s="87" t="s">
        <v>58</v>
      </c>
      <c r="F837" s="87" t="s">
        <v>1437</v>
      </c>
      <c r="G837" s="87" t="s">
        <v>95</v>
      </c>
      <c r="H837" s="112" t="s">
        <v>3883</v>
      </c>
      <c r="I837" s="90" t="s">
        <v>118</v>
      </c>
      <c r="J837" s="87" t="s">
        <v>173</v>
      </c>
      <c r="K837" s="87"/>
      <c r="L837" s="90" t="s">
        <v>3884</v>
      </c>
      <c r="M837" s="91" t="s">
        <v>3724</v>
      </c>
      <c r="N837" s="90" t="s">
        <v>3725</v>
      </c>
      <c r="O837" s="90" t="str">
        <f t="shared" si="152"/>
        <v>Distrital</v>
      </c>
      <c r="P837" s="87" t="s">
        <v>73</v>
      </c>
      <c r="Q837" s="87"/>
      <c r="R837" s="87"/>
      <c r="S837" s="87"/>
      <c r="T837" s="87"/>
      <c r="U837" s="87"/>
      <c r="V837" s="90" t="str">
        <f t="shared" si="153"/>
        <v>Distrital</v>
      </c>
      <c r="W837" s="87" t="s">
        <v>73</v>
      </c>
      <c r="X837" s="87"/>
      <c r="Y837" s="87"/>
      <c r="Z837" s="87"/>
      <c r="AA837" s="87"/>
      <c r="AB837" s="87"/>
      <c r="AC837" s="90" t="str">
        <f t="shared" si="154"/>
        <v>Distrital</v>
      </c>
      <c r="AD837" s="87" t="s">
        <v>73</v>
      </c>
      <c r="AE837" s="87"/>
      <c r="AF837" s="87"/>
      <c r="AG837" s="87"/>
      <c r="AH837" s="87"/>
      <c r="AI837" s="87"/>
      <c r="AJ837" s="87"/>
      <c r="AK837" s="87"/>
      <c r="AL837" s="87"/>
      <c r="AM837" s="87"/>
      <c r="AN837" s="90" t="s">
        <v>80</v>
      </c>
      <c r="AO837" s="102" t="s">
        <v>2638</v>
      </c>
      <c r="AP837" s="82"/>
      <c r="AQ837" s="87" t="s">
        <v>59</v>
      </c>
      <c r="AR837" s="87" t="s">
        <v>80</v>
      </c>
      <c r="AS837" s="82"/>
      <c r="AT837" s="87">
        <v>5</v>
      </c>
      <c r="AU837" s="87">
        <v>2</v>
      </c>
      <c r="AV837" s="87">
        <f>AT837+AU837</f>
        <v>7</v>
      </c>
      <c r="AW837" s="87" t="str">
        <f t="shared" si="151"/>
        <v>Ninguna</v>
      </c>
      <c r="AX837" s="87" t="s">
        <v>75</v>
      </c>
      <c r="AY837" s="87"/>
      <c r="AZ837" s="87"/>
      <c r="BA837" s="91" t="s">
        <v>3885</v>
      </c>
      <c r="BB837" s="84"/>
      <c r="BC837" s="85"/>
      <c r="BD837" s="85"/>
    </row>
    <row r="838" spans="1:56" s="86" customFormat="1" ht="57" customHeight="1">
      <c r="A838" s="78">
        <v>833</v>
      </c>
      <c r="B838" s="79" t="s">
        <v>3878</v>
      </c>
      <c r="C838" s="88">
        <v>45512</v>
      </c>
      <c r="D838" s="89">
        <v>0.58333333333333337</v>
      </c>
      <c r="E838" s="87" t="s">
        <v>58</v>
      </c>
      <c r="F838" s="87" t="s">
        <v>61</v>
      </c>
      <c r="G838" s="87" t="s">
        <v>62</v>
      </c>
      <c r="H838" s="90" t="s">
        <v>3879</v>
      </c>
      <c r="I838" s="90" t="s">
        <v>128</v>
      </c>
      <c r="J838" s="87" t="s">
        <v>816</v>
      </c>
      <c r="K838" s="87"/>
      <c r="L838" s="90" t="s">
        <v>3886</v>
      </c>
      <c r="M838" s="91" t="s">
        <v>72</v>
      </c>
      <c r="N838" s="90" t="s">
        <v>72</v>
      </c>
      <c r="O838" s="90" t="str">
        <f t="shared" si="152"/>
        <v>Distrital</v>
      </c>
      <c r="P838" s="87" t="s">
        <v>73</v>
      </c>
      <c r="Q838" s="87"/>
      <c r="R838" s="87"/>
      <c r="S838" s="87"/>
      <c r="T838" s="87"/>
      <c r="U838" s="87"/>
      <c r="V838" s="90" t="str">
        <f t="shared" si="153"/>
        <v>Distrital</v>
      </c>
      <c r="W838" s="87" t="s">
        <v>73</v>
      </c>
      <c r="X838" s="87"/>
      <c r="Y838" s="87"/>
      <c r="Z838" s="87"/>
      <c r="AA838" s="87"/>
      <c r="AB838" s="87"/>
      <c r="AC838" s="90" t="str">
        <f t="shared" si="154"/>
        <v>Distrital</v>
      </c>
      <c r="AD838" s="87" t="s">
        <v>73</v>
      </c>
      <c r="AE838" s="87"/>
      <c r="AF838" s="87"/>
      <c r="AG838" s="87"/>
      <c r="AH838" s="87"/>
      <c r="AI838" s="87"/>
      <c r="AJ838" s="87"/>
      <c r="AK838" s="87"/>
      <c r="AL838" s="87"/>
      <c r="AM838" s="87"/>
      <c r="AN838" s="90" t="s">
        <v>72</v>
      </c>
      <c r="AO838" s="90" t="s">
        <v>72</v>
      </c>
      <c r="AP838" s="82"/>
      <c r="AQ838" s="87" t="s">
        <v>60</v>
      </c>
      <c r="AR838" s="87" t="s">
        <v>2854</v>
      </c>
      <c r="AS838" s="82"/>
      <c r="AT838" s="87">
        <v>20</v>
      </c>
      <c r="AU838" s="87">
        <v>2</v>
      </c>
      <c r="AV838" s="87">
        <f t="shared" si="150"/>
        <v>22</v>
      </c>
      <c r="AW838" s="87" t="str">
        <f t="shared" si="151"/>
        <v>Contenidos adaptados</v>
      </c>
      <c r="AX838" s="87" t="s">
        <v>212</v>
      </c>
      <c r="AY838" s="87"/>
      <c r="AZ838" s="87"/>
      <c r="BA838" s="91" t="s">
        <v>3887</v>
      </c>
      <c r="BB838" s="84"/>
      <c r="BC838" s="85"/>
      <c r="BD838" s="85"/>
    </row>
    <row r="839" spans="1:56" s="86" customFormat="1" ht="57" customHeight="1">
      <c r="A839" s="87">
        <v>834</v>
      </c>
      <c r="B839" s="79" t="s">
        <v>3888</v>
      </c>
      <c r="C839" s="88">
        <v>45512</v>
      </c>
      <c r="D839" s="89">
        <v>0.58333333333333337</v>
      </c>
      <c r="E839" s="87" t="s">
        <v>58</v>
      </c>
      <c r="F839" s="87" t="s">
        <v>149</v>
      </c>
      <c r="G839" s="87" t="s">
        <v>62</v>
      </c>
      <c r="H839" s="90" t="s">
        <v>3889</v>
      </c>
      <c r="I839" s="90" t="s">
        <v>64</v>
      </c>
      <c r="J839" s="87" t="s">
        <v>70</v>
      </c>
      <c r="K839" s="87"/>
      <c r="L839" s="90" t="s">
        <v>2723</v>
      </c>
      <c r="M839" s="91" t="s">
        <v>2790</v>
      </c>
      <c r="N839" s="90" t="s">
        <v>2724</v>
      </c>
      <c r="O839" s="90" t="str">
        <f t="shared" si="152"/>
        <v>Distrital</v>
      </c>
      <c r="P839" s="87" t="s">
        <v>73</v>
      </c>
      <c r="Q839" s="87"/>
      <c r="R839" s="87"/>
      <c r="S839" s="87"/>
      <c r="T839" s="87"/>
      <c r="U839" s="87"/>
      <c r="V839" s="90" t="str">
        <f t="shared" si="153"/>
        <v>Distrital</v>
      </c>
      <c r="W839" s="87" t="s">
        <v>73</v>
      </c>
      <c r="X839" s="87"/>
      <c r="Y839" s="87"/>
      <c r="Z839" s="87"/>
      <c r="AA839" s="87"/>
      <c r="AB839" s="87"/>
      <c r="AC839" s="90" t="str">
        <f t="shared" si="154"/>
        <v>Distrital</v>
      </c>
      <c r="AD839" s="87" t="s">
        <v>73</v>
      </c>
      <c r="AE839" s="87"/>
      <c r="AF839" s="87"/>
      <c r="AG839" s="87"/>
      <c r="AH839" s="87"/>
      <c r="AI839" s="87"/>
      <c r="AJ839" s="87"/>
      <c r="AK839" s="87"/>
      <c r="AL839" s="87"/>
      <c r="AM839" s="87"/>
      <c r="AN839" s="90" t="s">
        <v>72</v>
      </c>
      <c r="AO839" s="90" t="s">
        <v>3890</v>
      </c>
      <c r="AP839" s="82"/>
      <c r="AQ839" s="87" t="s">
        <v>59</v>
      </c>
      <c r="AR839" s="87" t="s">
        <v>80</v>
      </c>
      <c r="AS839" s="82"/>
      <c r="AT839" s="87">
        <v>37</v>
      </c>
      <c r="AU839" s="87">
        <v>1</v>
      </c>
      <c r="AV839" s="87">
        <f t="shared" si="150"/>
        <v>38</v>
      </c>
      <c r="AW839" s="87" t="str">
        <f t="shared" si="151"/>
        <v>Ninguna</v>
      </c>
      <c r="AX839" s="87" t="s">
        <v>75</v>
      </c>
      <c r="AY839" s="87"/>
      <c r="AZ839" s="87"/>
      <c r="BA839" s="91" t="s">
        <v>3891</v>
      </c>
      <c r="BB839" s="84"/>
      <c r="BC839" s="85"/>
      <c r="BD839" s="85"/>
    </row>
    <row r="840" spans="1:56" s="86" customFormat="1" ht="57" customHeight="1">
      <c r="A840" s="78">
        <v>835</v>
      </c>
      <c r="B840" s="79" t="s">
        <v>3892</v>
      </c>
      <c r="C840" s="88">
        <v>45512</v>
      </c>
      <c r="D840" s="89">
        <v>0.625</v>
      </c>
      <c r="E840" s="87" t="s">
        <v>58</v>
      </c>
      <c r="F840" s="87" t="s">
        <v>2227</v>
      </c>
      <c r="G840" s="87" t="s">
        <v>62</v>
      </c>
      <c r="H840" s="90" t="s">
        <v>3893</v>
      </c>
      <c r="I840" s="90" t="s">
        <v>188</v>
      </c>
      <c r="J840" s="87" t="s">
        <v>376</v>
      </c>
      <c r="K840" s="87" t="s">
        <v>557</v>
      </c>
      <c r="L840" s="90" t="s">
        <v>3895</v>
      </c>
      <c r="M840" s="91" t="s">
        <v>3896</v>
      </c>
      <c r="N840" s="90" t="s">
        <v>3897</v>
      </c>
      <c r="O840" s="90" t="str">
        <f t="shared" si="152"/>
        <v>Barrios Unidos</v>
      </c>
      <c r="P840" s="87" t="s">
        <v>686</v>
      </c>
      <c r="Q840" s="87"/>
      <c r="R840" s="87"/>
      <c r="S840" s="87"/>
      <c r="T840" s="87"/>
      <c r="U840" s="87"/>
      <c r="V840" s="90" t="str">
        <f t="shared" si="153"/>
        <v>Centro Ampliado</v>
      </c>
      <c r="W840" s="87" t="s">
        <v>415</v>
      </c>
      <c r="X840" s="87"/>
      <c r="Y840" s="87"/>
      <c r="Z840" s="87"/>
      <c r="AA840" s="87"/>
      <c r="AB840" s="87"/>
      <c r="AC840" s="90" t="str">
        <f t="shared" si="154"/>
        <v>Barrios Unidos</v>
      </c>
      <c r="AD840" s="87" t="s">
        <v>686</v>
      </c>
      <c r="AE840" s="87"/>
      <c r="AF840" s="87"/>
      <c r="AG840" s="87"/>
      <c r="AH840" s="87"/>
      <c r="AI840" s="87"/>
      <c r="AJ840" s="87"/>
      <c r="AK840" s="87"/>
      <c r="AL840" s="87"/>
      <c r="AM840" s="87"/>
      <c r="AN840" s="90" t="s">
        <v>3898</v>
      </c>
      <c r="AO840" s="90" t="s">
        <v>3899</v>
      </c>
      <c r="AP840" s="82"/>
      <c r="AQ840" s="87" t="s">
        <v>59</v>
      </c>
      <c r="AR840" s="87" t="s">
        <v>80</v>
      </c>
      <c r="AS840" s="82"/>
      <c r="AT840" s="87">
        <v>3</v>
      </c>
      <c r="AU840" s="87">
        <v>3</v>
      </c>
      <c r="AV840" s="87">
        <f t="shared" si="150"/>
        <v>6</v>
      </c>
      <c r="AW840" s="87" t="str">
        <f t="shared" si="151"/>
        <v>Horarios Acordes</v>
      </c>
      <c r="AX840" s="87" t="s">
        <v>213</v>
      </c>
      <c r="AY840" s="87"/>
      <c r="AZ840" s="87"/>
      <c r="BA840" s="91" t="s">
        <v>3900</v>
      </c>
      <c r="BB840" s="84"/>
      <c r="BC840" s="85"/>
      <c r="BD840" s="85"/>
    </row>
    <row r="841" spans="1:56" s="86" customFormat="1" ht="57" customHeight="1">
      <c r="A841" s="87">
        <v>836</v>
      </c>
      <c r="B841" s="79" t="s">
        <v>3901</v>
      </c>
      <c r="C841" s="88">
        <v>45513</v>
      </c>
      <c r="D841" s="89">
        <v>3.3333333333333335</v>
      </c>
      <c r="E841" s="87" t="s">
        <v>58</v>
      </c>
      <c r="F841" s="87" t="s">
        <v>1437</v>
      </c>
      <c r="G841" s="87" t="s">
        <v>95</v>
      </c>
      <c r="H841" s="90" t="s">
        <v>3902</v>
      </c>
      <c r="I841" s="90" t="s">
        <v>64</v>
      </c>
      <c r="J841" s="87" t="s">
        <v>173</v>
      </c>
      <c r="K841" s="87"/>
      <c r="L841" s="90" t="s">
        <v>3903</v>
      </c>
      <c r="M841" s="91" t="s">
        <v>3724</v>
      </c>
      <c r="N841" s="90" t="s">
        <v>3725</v>
      </c>
      <c r="O841" s="90" t="str">
        <f t="shared" si="152"/>
        <v>Distrital</v>
      </c>
      <c r="P841" s="87" t="s">
        <v>73</v>
      </c>
      <c r="Q841" s="87"/>
      <c r="R841" s="87"/>
      <c r="S841" s="87"/>
      <c r="T841" s="87"/>
      <c r="U841" s="87"/>
      <c r="V841" s="90" t="str">
        <f t="shared" si="153"/>
        <v>Distrital</v>
      </c>
      <c r="W841" s="87" t="s">
        <v>73</v>
      </c>
      <c r="X841" s="87"/>
      <c r="Y841" s="87"/>
      <c r="Z841" s="87"/>
      <c r="AA841" s="87"/>
      <c r="AB841" s="87"/>
      <c r="AC841" s="90" t="str">
        <f t="shared" si="154"/>
        <v>Distrital</v>
      </c>
      <c r="AD841" s="87" t="s">
        <v>73</v>
      </c>
      <c r="AE841" s="87"/>
      <c r="AF841" s="87"/>
      <c r="AG841" s="87"/>
      <c r="AH841" s="87"/>
      <c r="AI841" s="87"/>
      <c r="AJ841" s="87"/>
      <c r="AK841" s="87"/>
      <c r="AL841" s="87"/>
      <c r="AM841" s="87"/>
      <c r="AN841" s="90" t="s">
        <v>80</v>
      </c>
      <c r="AO841" s="90"/>
      <c r="AP841" s="82"/>
      <c r="AQ841" s="87" t="s">
        <v>59</v>
      </c>
      <c r="AR841" s="87" t="s">
        <v>80</v>
      </c>
      <c r="AS841" s="82"/>
      <c r="AT841" s="87">
        <v>3</v>
      </c>
      <c r="AU841" s="87">
        <v>1</v>
      </c>
      <c r="AV841" s="87">
        <f t="shared" ref="AV841:AV849" si="155">AT841+AU841</f>
        <v>4</v>
      </c>
      <c r="AW841" s="87" t="str">
        <f t="shared" si="151"/>
        <v>Ninguna</v>
      </c>
      <c r="AX841" s="87" t="s">
        <v>75</v>
      </c>
      <c r="AY841" s="87"/>
      <c r="AZ841" s="87"/>
      <c r="BA841" s="91" t="s">
        <v>3904</v>
      </c>
      <c r="BB841" s="84"/>
      <c r="BC841" s="85"/>
      <c r="BD841" s="85"/>
    </row>
    <row r="842" spans="1:56" s="86" customFormat="1" ht="57" customHeight="1">
      <c r="A842" s="78">
        <v>837</v>
      </c>
      <c r="B842" s="79" t="s">
        <v>3905</v>
      </c>
      <c r="C842" s="88">
        <v>45513</v>
      </c>
      <c r="D842" s="89">
        <v>0.45833333333333331</v>
      </c>
      <c r="E842" s="87" t="s">
        <v>58</v>
      </c>
      <c r="F842" s="87" t="s">
        <v>1437</v>
      </c>
      <c r="G842" s="87" t="s">
        <v>95</v>
      </c>
      <c r="H842" s="90" t="s">
        <v>3906</v>
      </c>
      <c r="I842" s="90" t="s">
        <v>118</v>
      </c>
      <c r="J842" s="87" t="s">
        <v>173</v>
      </c>
      <c r="K842" s="87"/>
      <c r="L842" s="90" t="s">
        <v>3907</v>
      </c>
      <c r="M842" s="91" t="s">
        <v>3724</v>
      </c>
      <c r="N842" s="90" t="s">
        <v>3908</v>
      </c>
      <c r="O842" s="90" t="str">
        <f t="shared" si="152"/>
        <v>Distrital</v>
      </c>
      <c r="P842" s="87" t="s">
        <v>73</v>
      </c>
      <c r="Q842" s="87"/>
      <c r="R842" s="87"/>
      <c r="S842" s="87"/>
      <c r="T842" s="87"/>
      <c r="U842" s="87"/>
      <c r="V842" s="90" t="str">
        <f t="shared" si="153"/>
        <v>Distrital</v>
      </c>
      <c r="W842" s="87" t="s">
        <v>73</v>
      </c>
      <c r="X842" s="87"/>
      <c r="Y842" s="87"/>
      <c r="Z842" s="87"/>
      <c r="AA842" s="87"/>
      <c r="AB842" s="87"/>
      <c r="AC842" s="90" t="str">
        <f t="shared" si="154"/>
        <v>Distrital</v>
      </c>
      <c r="AD842" s="87" t="s">
        <v>73</v>
      </c>
      <c r="AE842" s="87"/>
      <c r="AF842" s="87"/>
      <c r="AG842" s="87"/>
      <c r="AH842" s="87"/>
      <c r="AI842" s="87"/>
      <c r="AJ842" s="87"/>
      <c r="AK842" s="87"/>
      <c r="AL842" s="87"/>
      <c r="AM842" s="87"/>
      <c r="AN842" s="90" t="s">
        <v>80</v>
      </c>
      <c r="AO842" s="102" t="s">
        <v>2638</v>
      </c>
      <c r="AP842" s="82"/>
      <c r="AQ842" s="87" t="s">
        <v>59</v>
      </c>
      <c r="AR842" s="87" t="s">
        <v>80</v>
      </c>
      <c r="AS842" s="82"/>
      <c r="AT842" s="87">
        <v>2</v>
      </c>
      <c r="AU842" s="87">
        <v>3</v>
      </c>
      <c r="AV842" s="87">
        <f t="shared" si="155"/>
        <v>5</v>
      </c>
      <c r="AW842" s="87" t="str">
        <f t="shared" si="151"/>
        <v>Ninguna</v>
      </c>
      <c r="AX842" s="87" t="s">
        <v>75</v>
      </c>
      <c r="AY842" s="87"/>
      <c r="AZ842" s="87"/>
      <c r="BA842" s="91" t="s">
        <v>3909</v>
      </c>
      <c r="BB842" s="84"/>
      <c r="BC842" s="85"/>
      <c r="BD842" s="85"/>
    </row>
    <row r="843" spans="1:56" s="86" customFormat="1" ht="57" customHeight="1">
      <c r="A843" s="87">
        <v>838</v>
      </c>
      <c r="B843" s="79" t="s">
        <v>3878</v>
      </c>
      <c r="C843" s="88">
        <v>45513</v>
      </c>
      <c r="D843" s="89">
        <v>0.45833333333333331</v>
      </c>
      <c r="E843" s="87" t="s">
        <v>58</v>
      </c>
      <c r="F843" s="87" t="s">
        <v>61</v>
      </c>
      <c r="G843" s="87" t="s">
        <v>62</v>
      </c>
      <c r="H843" s="90" t="s">
        <v>3879</v>
      </c>
      <c r="I843" s="90" t="s">
        <v>128</v>
      </c>
      <c r="J843" s="87" t="s">
        <v>816</v>
      </c>
      <c r="K843" s="87"/>
      <c r="L843" s="90" t="s">
        <v>3886</v>
      </c>
      <c r="M843" s="91" t="s">
        <v>72</v>
      </c>
      <c r="N843" s="90" t="s">
        <v>72</v>
      </c>
      <c r="O843" s="90" t="str">
        <f t="shared" si="152"/>
        <v>Distrital</v>
      </c>
      <c r="P843" s="87" t="s">
        <v>73</v>
      </c>
      <c r="Q843" s="87"/>
      <c r="R843" s="87"/>
      <c r="S843" s="87"/>
      <c r="T843" s="87"/>
      <c r="U843" s="87"/>
      <c r="V843" s="90" t="str">
        <f t="shared" si="153"/>
        <v>Distrital</v>
      </c>
      <c r="W843" s="87" t="s">
        <v>73</v>
      </c>
      <c r="X843" s="87"/>
      <c r="Y843" s="87"/>
      <c r="Z843" s="87"/>
      <c r="AA843" s="87"/>
      <c r="AB843" s="87"/>
      <c r="AC843" s="90" t="str">
        <f t="shared" si="154"/>
        <v>Distrital</v>
      </c>
      <c r="AD843" s="87" t="s">
        <v>73</v>
      </c>
      <c r="AE843" s="87"/>
      <c r="AF843" s="87"/>
      <c r="AG843" s="87"/>
      <c r="AH843" s="87"/>
      <c r="AI843" s="87"/>
      <c r="AJ843" s="87"/>
      <c r="AK843" s="87"/>
      <c r="AL843" s="87"/>
      <c r="AM843" s="87"/>
      <c r="AN843" s="90" t="s">
        <v>72</v>
      </c>
      <c r="AO843" s="90" t="s">
        <v>72</v>
      </c>
      <c r="AP843" s="82"/>
      <c r="AQ843" s="87" t="s">
        <v>60</v>
      </c>
      <c r="AR843" s="87" t="s">
        <v>2854</v>
      </c>
      <c r="AS843" s="82"/>
      <c r="AT843" s="87">
        <v>32</v>
      </c>
      <c r="AU843" s="87">
        <v>2</v>
      </c>
      <c r="AV843" s="87">
        <f t="shared" si="155"/>
        <v>34</v>
      </c>
      <c r="AW843" s="87" t="str">
        <f t="shared" si="151"/>
        <v>Contenidos adaptados</v>
      </c>
      <c r="AX843" s="87" t="s">
        <v>212</v>
      </c>
      <c r="AY843" s="87"/>
      <c r="AZ843" s="87"/>
      <c r="BA843" s="91" t="s">
        <v>3910</v>
      </c>
      <c r="BB843" s="84"/>
      <c r="BC843" s="85"/>
      <c r="BD843" s="85"/>
    </row>
    <row r="844" spans="1:56" s="86" customFormat="1" ht="57" customHeight="1">
      <c r="A844" s="78">
        <v>839</v>
      </c>
      <c r="B844" s="79" t="s">
        <v>3911</v>
      </c>
      <c r="C844" s="88">
        <v>45516</v>
      </c>
      <c r="D844" s="89">
        <v>0.75</v>
      </c>
      <c r="E844" s="87" t="s">
        <v>93</v>
      </c>
      <c r="F844" s="87" t="s">
        <v>102</v>
      </c>
      <c r="G844" s="87" t="s">
        <v>95</v>
      </c>
      <c r="H844" s="90" t="s">
        <v>3912</v>
      </c>
      <c r="I844" s="90" t="s">
        <v>118</v>
      </c>
      <c r="J844" s="87" t="s">
        <v>173</v>
      </c>
      <c r="K844" s="87"/>
      <c r="L844" s="90" t="s">
        <v>3913</v>
      </c>
      <c r="M844" s="91" t="s">
        <v>3914</v>
      </c>
      <c r="N844" s="93" t="s">
        <v>906</v>
      </c>
      <c r="O844" s="90" t="str">
        <f t="shared" si="133"/>
        <v>Distrital</v>
      </c>
      <c r="P844" s="87" t="s">
        <v>73</v>
      </c>
      <c r="Q844" s="87"/>
      <c r="R844" s="87"/>
      <c r="S844" s="87"/>
      <c r="T844" s="87"/>
      <c r="U844" s="87"/>
      <c r="V844" s="90" t="str">
        <f t="shared" si="153"/>
        <v>Distrital</v>
      </c>
      <c r="W844" s="87" t="s">
        <v>73</v>
      </c>
      <c r="X844" s="87"/>
      <c r="Y844" s="87"/>
      <c r="Z844" s="87"/>
      <c r="AA844" s="87"/>
      <c r="AB844" s="87"/>
      <c r="AC844" s="90" t="str">
        <f t="shared" si="154"/>
        <v>Distrital</v>
      </c>
      <c r="AD844" s="87" t="s">
        <v>73</v>
      </c>
      <c r="AE844" s="87"/>
      <c r="AF844" s="87"/>
      <c r="AG844" s="87"/>
      <c r="AH844" s="87"/>
      <c r="AI844" s="87"/>
      <c r="AJ844" s="87"/>
      <c r="AK844" s="87"/>
      <c r="AL844" s="87"/>
      <c r="AM844" s="87"/>
      <c r="AN844" s="90" t="s">
        <v>80</v>
      </c>
      <c r="AO844" s="102" t="s">
        <v>2667</v>
      </c>
      <c r="AP844" s="82"/>
      <c r="AQ844" s="87" t="s">
        <v>59</v>
      </c>
      <c r="AR844" s="87" t="s">
        <v>80</v>
      </c>
      <c r="AS844" s="82"/>
      <c r="AT844" s="87">
        <v>9</v>
      </c>
      <c r="AU844" s="87">
        <v>2</v>
      </c>
      <c r="AV844" s="87">
        <f t="shared" si="155"/>
        <v>11</v>
      </c>
      <c r="AW844" s="87" t="str">
        <f t="shared" si="151"/>
        <v>Ninguna</v>
      </c>
      <c r="AX844" s="87" t="s">
        <v>75</v>
      </c>
      <c r="AY844" s="87"/>
      <c r="AZ844" s="87"/>
      <c r="BA844" s="91" t="s">
        <v>3915</v>
      </c>
      <c r="BB844" s="84"/>
      <c r="BC844" s="85"/>
      <c r="BD844" s="85"/>
    </row>
    <row r="845" spans="1:56" s="86" customFormat="1" ht="57" customHeight="1">
      <c r="A845" s="87">
        <v>840</v>
      </c>
      <c r="B845" s="79" t="s">
        <v>3916</v>
      </c>
      <c r="C845" s="88">
        <v>45517</v>
      </c>
      <c r="D845" s="89">
        <v>0.75</v>
      </c>
      <c r="E845" s="87" t="s">
        <v>93</v>
      </c>
      <c r="F845" s="87" t="s">
        <v>102</v>
      </c>
      <c r="G845" s="87" t="s">
        <v>95</v>
      </c>
      <c r="H845" s="90" t="s">
        <v>3917</v>
      </c>
      <c r="I845" s="90" t="s">
        <v>118</v>
      </c>
      <c r="J845" s="87" t="s">
        <v>173</v>
      </c>
      <c r="K845" s="87"/>
      <c r="L845" s="90" t="s">
        <v>3223</v>
      </c>
      <c r="M845" s="91" t="s">
        <v>2894</v>
      </c>
      <c r="N845" s="90" t="s">
        <v>2895</v>
      </c>
      <c r="O845" s="90" t="str">
        <f t="shared" si="133"/>
        <v>Distrital</v>
      </c>
      <c r="P845" s="87" t="s">
        <v>73</v>
      </c>
      <c r="Q845" s="87"/>
      <c r="R845" s="87"/>
      <c r="S845" s="87"/>
      <c r="T845" s="87"/>
      <c r="U845" s="87"/>
      <c r="V845" s="90" t="str">
        <f t="shared" si="153"/>
        <v>Distrital</v>
      </c>
      <c r="W845" s="87" t="s">
        <v>73</v>
      </c>
      <c r="X845" s="87"/>
      <c r="Y845" s="87"/>
      <c r="Z845" s="87"/>
      <c r="AA845" s="87"/>
      <c r="AB845" s="87"/>
      <c r="AC845" s="90" t="str">
        <f t="shared" si="154"/>
        <v>Distrital</v>
      </c>
      <c r="AD845" s="87" t="s">
        <v>73</v>
      </c>
      <c r="AE845" s="87"/>
      <c r="AF845" s="87"/>
      <c r="AG845" s="87"/>
      <c r="AH845" s="87"/>
      <c r="AI845" s="87"/>
      <c r="AJ845" s="87"/>
      <c r="AK845" s="87"/>
      <c r="AL845" s="87"/>
      <c r="AM845" s="87"/>
      <c r="AN845" s="90" t="s">
        <v>160</v>
      </c>
      <c r="AO845" s="102" t="s">
        <v>2667</v>
      </c>
      <c r="AP845" s="82"/>
      <c r="AQ845" s="87" t="s">
        <v>59</v>
      </c>
      <c r="AR845" s="87" t="s">
        <v>80</v>
      </c>
      <c r="AS845" s="82"/>
      <c r="AT845" s="87">
        <v>33</v>
      </c>
      <c r="AU845" s="87">
        <v>2</v>
      </c>
      <c r="AV845" s="87">
        <f t="shared" si="155"/>
        <v>35</v>
      </c>
      <c r="AW845" s="87" t="str">
        <f t="shared" si="151"/>
        <v>Ninguna</v>
      </c>
      <c r="AX845" s="87" t="s">
        <v>75</v>
      </c>
      <c r="AY845" s="87"/>
      <c r="AZ845" s="87"/>
      <c r="BA845" s="91" t="s">
        <v>3918</v>
      </c>
      <c r="BB845" s="84"/>
      <c r="BC845" s="85"/>
      <c r="BD845" s="85"/>
    </row>
    <row r="846" spans="1:56" s="86" customFormat="1" ht="57" customHeight="1">
      <c r="A846" s="78">
        <v>841</v>
      </c>
      <c r="B846" s="79" t="s">
        <v>3919</v>
      </c>
      <c r="C846" s="88">
        <v>45518</v>
      </c>
      <c r="D846" s="89">
        <v>0.70833333333333337</v>
      </c>
      <c r="E846" s="87" t="s">
        <v>93</v>
      </c>
      <c r="F846" s="87" t="s">
        <v>102</v>
      </c>
      <c r="G846" s="87" t="s">
        <v>95</v>
      </c>
      <c r="H846" s="90" t="s">
        <v>3920</v>
      </c>
      <c r="I846" s="90" t="s">
        <v>118</v>
      </c>
      <c r="J846" s="87" t="s">
        <v>173</v>
      </c>
      <c r="K846" s="87"/>
      <c r="L846" s="90" t="s">
        <v>3921</v>
      </c>
      <c r="M846" s="91" t="s">
        <v>2729</v>
      </c>
      <c r="N846" s="90" t="s">
        <v>692</v>
      </c>
      <c r="O846" s="90" t="str">
        <f t="shared" si="133"/>
        <v>Distrital</v>
      </c>
      <c r="P846" s="87" t="s">
        <v>73</v>
      </c>
      <c r="Q846" s="87"/>
      <c r="R846" s="87"/>
      <c r="S846" s="87"/>
      <c r="T846" s="87"/>
      <c r="U846" s="87"/>
      <c r="V846" s="90" t="str">
        <f t="shared" si="153"/>
        <v>Distrital</v>
      </c>
      <c r="W846" s="87" t="s">
        <v>73</v>
      </c>
      <c r="X846" s="87"/>
      <c r="Y846" s="87"/>
      <c r="Z846" s="87"/>
      <c r="AA846" s="87"/>
      <c r="AB846" s="87"/>
      <c r="AC846" s="90" t="str">
        <f t="shared" si="154"/>
        <v>Distrital</v>
      </c>
      <c r="AD846" s="87" t="s">
        <v>73</v>
      </c>
      <c r="AE846" s="87"/>
      <c r="AF846" s="87"/>
      <c r="AG846" s="87"/>
      <c r="AH846" s="87"/>
      <c r="AI846" s="87"/>
      <c r="AJ846" s="87"/>
      <c r="AK846" s="87"/>
      <c r="AL846" s="87"/>
      <c r="AM846" s="87"/>
      <c r="AN846" s="90" t="s">
        <v>80</v>
      </c>
      <c r="AO846" s="102" t="s">
        <v>2667</v>
      </c>
      <c r="AP846" s="82"/>
      <c r="AQ846" s="87" t="s">
        <v>59</v>
      </c>
      <c r="AR846" s="87" t="s">
        <v>80</v>
      </c>
      <c r="AS846" s="82"/>
      <c r="AT846" s="87">
        <v>14</v>
      </c>
      <c r="AU846" s="87">
        <v>2</v>
      </c>
      <c r="AV846" s="87">
        <f t="shared" si="155"/>
        <v>16</v>
      </c>
      <c r="AW846" s="87" t="str">
        <f t="shared" si="151"/>
        <v>Ninguna</v>
      </c>
      <c r="AX846" s="87" t="s">
        <v>75</v>
      </c>
      <c r="AY846" s="87"/>
      <c r="AZ846" s="87"/>
      <c r="BA846" s="91" t="s">
        <v>3922</v>
      </c>
      <c r="BB846" s="84"/>
      <c r="BC846" s="85"/>
      <c r="BD846" s="85"/>
    </row>
    <row r="847" spans="1:56" s="86" customFormat="1" ht="57" customHeight="1">
      <c r="A847" s="87">
        <v>842</v>
      </c>
      <c r="B847" s="79" t="s">
        <v>668</v>
      </c>
      <c r="C847" s="88">
        <v>45518</v>
      </c>
      <c r="D847" s="89">
        <v>0.4375</v>
      </c>
      <c r="E847" s="87" t="s">
        <v>93</v>
      </c>
      <c r="F847" s="87" t="s">
        <v>321</v>
      </c>
      <c r="G847" s="87" t="s">
        <v>62</v>
      </c>
      <c r="H847" s="90" t="s">
        <v>3923</v>
      </c>
      <c r="I847" s="90" t="s">
        <v>118</v>
      </c>
      <c r="J847" s="87" t="s">
        <v>173</v>
      </c>
      <c r="K847" s="87"/>
      <c r="L847" s="90" t="s">
        <v>3925</v>
      </c>
      <c r="M847" s="91" t="s">
        <v>3926</v>
      </c>
      <c r="N847" s="90" t="s">
        <v>2744</v>
      </c>
      <c r="O847" s="90" t="str">
        <f t="shared" ref="O847:O859" si="156">_xlfn.TEXTJOIN(", ",TRUE,$P847:$T847)</f>
        <v>Usme</v>
      </c>
      <c r="P847" s="87" t="s">
        <v>670</v>
      </c>
      <c r="Q847" s="87"/>
      <c r="R847" s="87"/>
      <c r="S847" s="87"/>
      <c r="T847" s="87"/>
      <c r="U847" s="87"/>
      <c r="V847" s="90" t="str">
        <f t="shared" si="153"/>
        <v>Suroriente</v>
      </c>
      <c r="W847" s="87" t="s">
        <v>108</v>
      </c>
      <c r="X847" s="87"/>
      <c r="Y847" s="87"/>
      <c r="Z847" s="87"/>
      <c r="AA847" s="87"/>
      <c r="AB847" s="87"/>
      <c r="AC847" s="90" t="str">
        <f t="shared" si="154"/>
        <v>Usme Entrenubes</v>
      </c>
      <c r="AD847" s="87" t="s">
        <v>671</v>
      </c>
      <c r="AE847" s="87"/>
      <c r="AF847" s="87"/>
      <c r="AG847" s="87"/>
      <c r="AH847" s="87"/>
      <c r="AI847" s="87"/>
      <c r="AJ847" s="87"/>
      <c r="AK847" s="87"/>
      <c r="AL847" s="87"/>
      <c r="AM847" s="87"/>
      <c r="AN847" s="90" t="s">
        <v>3927</v>
      </c>
      <c r="AO847" s="90" t="s">
        <v>3928</v>
      </c>
      <c r="AP847" s="82"/>
      <c r="AQ847" s="87" t="s">
        <v>59</v>
      </c>
      <c r="AR847" s="87" t="s">
        <v>80</v>
      </c>
      <c r="AS847" s="82"/>
      <c r="AT847" s="87">
        <v>17</v>
      </c>
      <c r="AU847" s="87">
        <v>1</v>
      </c>
      <c r="AV847" s="87">
        <f t="shared" si="155"/>
        <v>18</v>
      </c>
      <c r="AW847" s="87" t="str">
        <f>_xlfn.TEXTJOIN(", ",TRUE,$AX847:$AZ847)</f>
        <v>Ninguna</v>
      </c>
      <c r="AX847" s="87" t="s">
        <v>75</v>
      </c>
      <c r="AY847" s="87"/>
      <c r="AZ847" s="87"/>
      <c r="BA847" s="91" t="s">
        <v>3929</v>
      </c>
      <c r="BB847" s="84"/>
      <c r="BC847" s="85"/>
      <c r="BD847" s="85"/>
    </row>
    <row r="848" spans="1:56" s="86" customFormat="1" ht="57" customHeight="1">
      <c r="A848" s="78">
        <v>843</v>
      </c>
      <c r="B848" s="79" t="s">
        <v>3930</v>
      </c>
      <c r="C848" s="88">
        <v>45519</v>
      </c>
      <c r="D848" s="89" t="s">
        <v>3931</v>
      </c>
      <c r="E848" s="87" t="s">
        <v>93</v>
      </c>
      <c r="F848" s="87" t="s">
        <v>1853</v>
      </c>
      <c r="G848" s="87" t="s">
        <v>62</v>
      </c>
      <c r="H848" s="90" t="s">
        <v>3932</v>
      </c>
      <c r="I848" s="90" t="s">
        <v>188</v>
      </c>
      <c r="J848" s="87" t="s">
        <v>173</v>
      </c>
      <c r="K848" s="87"/>
      <c r="L848" s="90" t="s">
        <v>3934</v>
      </c>
      <c r="M848" s="91" t="s">
        <v>3935</v>
      </c>
      <c r="N848" s="90" t="s">
        <v>3936</v>
      </c>
      <c r="O848" s="90" t="str">
        <f t="shared" si="156"/>
        <v>Distrital</v>
      </c>
      <c r="P848" s="87" t="s">
        <v>73</v>
      </c>
      <c r="Q848" s="87"/>
      <c r="R848" s="87"/>
      <c r="S848" s="87"/>
      <c r="T848" s="87"/>
      <c r="U848" s="87"/>
      <c r="V848" s="90" t="str">
        <f t="shared" si="153"/>
        <v>Distrital</v>
      </c>
      <c r="W848" s="87" t="s">
        <v>73</v>
      </c>
      <c r="X848" s="87"/>
      <c r="Y848" s="87"/>
      <c r="Z848" s="87"/>
      <c r="AA848" s="87"/>
      <c r="AB848" s="87"/>
      <c r="AC848" s="90" t="str">
        <f t="shared" si="154"/>
        <v>Teusaquillo</v>
      </c>
      <c r="AD848" s="87" t="s">
        <v>665</v>
      </c>
      <c r="AE848" s="87"/>
      <c r="AF848" s="87"/>
      <c r="AG848" s="87"/>
      <c r="AH848" s="87"/>
      <c r="AI848" s="87"/>
      <c r="AJ848" s="87"/>
      <c r="AK848" s="87"/>
      <c r="AL848" s="87"/>
      <c r="AM848" s="87"/>
      <c r="AN848" s="90" t="s">
        <v>665</v>
      </c>
      <c r="AO848" s="90" t="s">
        <v>3937</v>
      </c>
      <c r="AP848" s="82"/>
      <c r="AQ848" s="87" t="s">
        <v>60</v>
      </c>
      <c r="AR848" s="87" t="s">
        <v>2854</v>
      </c>
      <c r="AS848" s="82"/>
      <c r="AT848" s="87">
        <v>20</v>
      </c>
      <c r="AU848" s="87">
        <v>2</v>
      </c>
      <c r="AV848" s="87">
        <f t="shared" si="155"/>
        <v>22</v>
      </c>
      <c r="AW848" s="87" t="str">
        <f t="shared" si="151"/>
        <v>Ninguna</v>
      </c>
      <c r="AX848" s="87" t="s">
        <v>75</v>
      </c>
      <c r="AY848" s="87"/>
      <c r="AZ848" s="87"/>
      <c r="BA848" s="91" t="s">
        <v>3938</v>
      </c>
      <c r="BB848" s="84"/>
      <c r="BC848" s="85"/>
      <c r="BD848" s="85"/>
    </row>
    <row r="849" spans="1:56" s="86" customFormat="1" ht="57" customHeight="1">
      <c r="A849" s="87">
        <v>844</v>
      </c>
      <c r="B849" s="79" t="s">
        <v>3939</v>
      </c>
      <c r="C849" s="88">
        <v>45521</v>
      </c>
      <c r="D849" s="89">
        <v>0.58333333333333337</v>
      </c>
      <c r="E849" s="87" t="s">
        <v>93</v>
      </c>
      <c r="F849" s="87" t="s">
        <v>102</v>
      </c>
      <c r="G849" s="87" t="s">
        <v>62</v>
      </c>
      <c r="H849" s="90" t="s">
        <v>3940</v>
      </c>
      <c r="I849" s="90" t="s">
        <v>118</v>
      </c>
      <c r="J849" s="87" t="s">
        <v>119</v>
      </c>
      <c r="K849" s="87"/>
      <c r="L849" s="90" t="s">
        <v>3941</v>
      </c>
      <c r="M849" s="91" t="s">
        <v>72</v>
      </c>
      <c r="N849" s="90" t="s">
        <v>883</v>
      </c>
      <c r="O849" s="90" t="str">
        <f t="shared" si="156"/>
        <v>Distrital</v>
      </c>
      <c r="P849" s="87" t="s">
        <v>73</v>
      </c>
      <c r="Q849" s="87"/>
      <c r="R849" s="87"/>
      <c r="S849" s="87"/>
      <c r="T849" s="87"/>
      <c r="U849" s="87"/>
      <c r="V849" s="90" t="str">
        <f t="shared" si="153"/>
        <v>Distrital</v>
      </c>
      <c r="W849" s="87" t="s">
        <v>73</v>
      </c>
      <c r="X849" s="87"/>
      <c r="Y849" s="87"/>
      <c r="Z849" s="87"/>
      <c r="AA849" s="87"/>
      <c r="AB849" s="87"/>
      <c r="AC849" s="90" t="str">
        <f t="shared" si="154"/>
        <v>Distrital</v>
      </c>
      <c r="AD849" s="87" t="s">
        <v>73</v>
      </c>
      <c r="AE849" s="87"/>
      <c r="AF849" s="87"/>
      <c r="AG849" s="87"/>
      <c r="AH849" s="87"/>
      <c r="AI849" s="87"/>
      <c r="AJ849" s="87"/>
      <c r="AK849" s="87"/>
      <c r="AL849" s="87"/>
      <c r="AM849" s="87"/>
      <c r="AN849" s="90" t="s">
        <v>160</v>
      </c>
      <c r="AO849" s="90" t="s">
        <v>3942</v>
      </c>
      <c r="AP849" s="82"/>
      <c r="AQ849" s="87" t="s">
        <v>59</v>
      </c>
      <c r="AR849" s="87" t="s">
        <v>80</v>
      </c>
      <c r="AS849" s="82"/>
      <c r="AT849" s="87">
        <v>8</v>
      </c>
      <c r="AU849" s="87">
        <v>2</v>
      </c>
      <c r="AV849" s="87">
        <f t="shared" si="155"/>
        <v>10</v>
      </c>
      <c r="AW849" s="87" t="str">
        <f t="shared" si="151"/>
        <v>Ninguna</v>
      </c>
      <c r="AX849" s="87" t="s">
        <v>75</v>
      </c>
      <c r="AY849" s="87"/>
      <c r="AZ849" s="87"/>
      <c r="BA849" s="91" t="s">
        <v>3943</v>
      </c>
      <c r="BB849" s="84"/>
      <c r="BC849" s="85"/>
      <c r="BD849" s="85"/>
    </row>
    <row r="850" spans="1:56" s="86" customFormat="1" ht="57" customHeight="1">
      <c r="A850" s="78">
        <v>845</v>
      </c>
      <c r="B850" s="79" t="s">
        <v>3944</v>
      </c>
      <c r="C850" s="88">
        <v>45524</v>
      </c>
      <c r="D850" s="89">
        <v>0.45833333333333331</v>
      </c>
      <c r="E850" s="87" t="s">
        <v>93</v>
      </c>
      <c r="F850" s="87" t="s">
        <v>102</v>
      </c>
      <c r="G850" s="87" t="s">
        <v>62</v>
      </c>
      <c r="H850" s="90" t="s">
        <v>3945</v>
      </c>
      <c r="I850" s="90" t="s">
        <v>118</v>
      </c>
      <c r="J850" s="87" t="s">
        <v>173</v>
      </c>
      <c r="K850" s="87"/>
      <c r="L850" s="90" t="s">
        <v>3913</v>
      </c>
      <c r="M850" s="91" t="s">
        <v>3364</v>
      </c>
      <c r="N850" s="90" t="s">
        <v>906</v>
      </c>
      <c r="O850" s="90" t="str">
        <f t="shared" si="156"/>
        <v>Distrital</v>
      </c>
      <c r="P850" s="87" t="s">
        <v>73</v>
      </c>
      <c r="Q850" s="87"/>
      <c r="R850" s="87"/>
      <c r="S850" s="87"/>
      <c r="T850" s="87"/>
      <c r="U850" s="87"/>
      <c r="V850" s="90" t="str">
        <f t="shared" si="153"/>
        <v>Distrital</v>
      </c>
      <c r="W850" s="87" t="s">
        <v>73</v>
      </c>
      <c r="X850" s="87"/>
      <c r="Y850" s="87"/>
      <c r="Z850" s="87"/>
      <c r="AA850" s="87"/>
      <c r="AB850" s="87"/>
      <c r="AC850" s="90" t="str">
        <f t="shared" si="154"/>
        <v>Distrital</v>
      </c>
      <c r="AD850" s="87" t="s">
        <v>73</v>
      </c>
      <c r="AE850" s="87"/>
      <c r="AF850" s="87"/>
      <c r="AG850" s="87"/>
      <c r="AH850" s="87"/>
      <c r="AI850" s="87"/>
      <c r="AJ850" s="87"/>
      <c r="AK850" s="87"/>
      <c r="AL850" s="87"/>
      <c r="AM850" s="87"/>
      <c r="AN850" s="90" t="s">
        <v>80</v>
      </c>
      <c r="AO850" s="90" t="s">
        <v>3946</v>
      </c>
      <c r="AP850" s="82"/>
      <c r="AQ850" s="87" t="s">
        <v>59</v>
      </c>
      <c r="AR850" s="87" t="s">
        <v>80</v>
      </c>
      <c r="AS850" s="82"/>
      <c r="AT850" s="87">
        <v>3</v>
      </c>
      <c r="AU850" s="87">
        <v>2</v>
      </c>
      <c r="AV850" s="87">
        <f t="shared" ref="AV850:AV851" si="157">AT850+AU850</f>
        <v>5</v>
      </c>
      <c r="AW850" s="87" t="str">
        <f t="shared" si="151"/>
        <v>Ninguna</v>
      </c>
      <c r="AX850" s="87" t="s">
        <v>75</v>
      </c>
      <c r="AY850" s="87"/>
      <c r="AZ850" s="87"/>
      <c r="BA850" s="91" t="s">
        <v>3947</v>
      </c>
      <c r="BB850" s="84"/>
      <c r="BC850" s="85"/>
      <c r="BD850" s="85"/>
    </row>
    <row r="851" spans="1:56" s="86" customFormat="1" ht="57" customHeight="1">
      <c r="A851" s="87">
        <v>846</v>
      </c>
      <c r="B851" s="79" t="s">
        <v>3948</v>
      </c>
      <c r="C851" s="88">
        <v>45524</v>
      </c>
      <c r="D851" s="89">
        <v>0.70833333333333337</v>
      </c>
      <c r="E851" s="87" t="s">
        <v>93</v>
      </c>
      <c r="F851" s="87" t="s">
        <v>102</v>
      </c>
      <c r="G851" s="87" t="s">
        <v>95</v>
      </c>
      <c r="H851" s="90" t="s">
        <v>3945</v>
      </c>
      <c r="I851" s="90" t="s">
        <v>118</v>
      </c>
      <c r="J851" s="87" t="s">
        <v>173</v>
      </c>
      <c r="K851" s="87"/>
      <c r="L851" s="90" t="s">
        <v>3949</v>
      </c>
      <c r="M851" s="91" t="s">
        <v>3950</v>
      </c>
      <c r="N851" s="90" t="s">
        <v>736</v>
      </c>
      <c r="O851" s="90" t="str">
        <f t="shared" si="156"/>
        <v>Distrital</v>
      </c>
      <c r="P851" s="87" t="s">
        <v>73</v>
      </c>
      <c r="Q851" s="87"/>
      <c r="R851" s="87"/>
      <c r="S851" s="87"/>
      <c r="T851" s="87"/>
      <c r="U851" s="87"/>
      <c r="V851" s="90" t="str">
        <f t="shared" si="153"/>
        <v>Distrital</v>
      </c>
      <c r="W851" s="87" t="s">
        <v>73</v>
      </c>
      <c r="X851" s="87"/>
      <c r="Y851" s="87"/>
      <c r="Z851" s="87"/>
      <c r="AA851" s="87"/>
      <c r="AB851" s="87"/>
      <c r="AC851" s="90" t="str">
        <f t="shared" si="154"/>
        <v>Distrital</v>
      </c>
      <c r="AD851" s="87" t="s">
        <v>73</v>
      </c>
      <c r="AE851" s="87"/>
      <c r="AF851" s="87"/>
      <c r="AG851" s="87"/>
      <c r="AH851" s="87"/>
      <c r="AI851" s="87"/>
      <c r="AJ851" s="87"/>
      <c r="AK851" s="87"/>
      <c r="AL851" s="87"/>
      <c r="AM851" s="87"/>
      <c r="AN851" s="90" t="s">
        <v>80</v>
      </c>
      <c r="AO851" s="102" t="s">
        <v>2667</v>
      </c>
      <c r="AP851" s="82"/>
      <c r="AQ851" s="87" t="s">
        <v>59</v>
      </c>
      <c r="AR851" s="87" t="s">
        <v>80</v>
      </c>
      <c r="AS851" s="82"/>
      <c r="AT851" s="87">
        <v>10</v>
      </c>
      <c r="AU851" s="87">
        <v>1</v>
      </c>
      <c r="AV851" s="87">
        <f t="shared" si="157"/>
        <v>11</v>
      </c>
      <c r="AW851" s="87" t="str">
        <f t="shared" si="151"/>
        <v>Ninguna</v>
      </c>
      <c r="AX851" s="87" t="s">
        <v>75</v>
      </c>
      <c r="AY851" s="87"/>
      <c r="AZ851" s="87"/>
      <c r="BA851" s="91" t="s">
        <v>3951</v>
      </c>
      <c r="BB851" s="84"/>
      <c r="BC851" s="85"/>
      <c r="BD851" s="85"/>
    </row>
    <row r="852" spans="1:56" s="86" customFormat="1" ht="57" customHeight="1">
      <c r="A852" s="78">
        <v>847</v>
      </c>
      <c r="B852" s="79" t="s">
        <v>3952</v>
      </c>
      <c r="C852" s="88">
        <v>45525</v>
      </c>
      <c r="D852" s="89">
        <v>0.4375</v>
      </c>
      <c r="E852" s="87" t="s">
        <v>58</v>
      </c>
      <c r="F852" s="87" t="s">
        <v>135</v>
      </c>
      <c r="G852" s="87" t="s">
        <v>62</v>
      </c>
      <c r="H852" s="90" t="s">
        <v>3953</v>
      </c>
      <c r="I852" s="90" t="s">
        <v>118</v>
      </c>
      <c r="J852" s="87" t="s">
        <v>173</v>
      </c>
      <c r="K852" s="87"/>
      <c r="L852" s="90" t="s">
        <v>72</v>
      </c>
      <c r="M852" s="91" t="s">
        <v>72</v>
      </c>
      <c r="N852" s="90" t="s">
        <v>72</v>
      </c>
      <c r="O852" s="90" t="str">
        <f t="shared" si="156"/>
        <v>Distrital</v>
      </c>
      <c r="P852" s="87" t="s">
        <v>73</v>
      </c>
      <c r="Q852" s="87"/>
      <c r="R852" s="87"/>
      <c r="S852" s="87"/>
      <c r="T852" s="87"/>
      <c r="U852" s="87"/>
      <c r="V852" s="90" t="str">
        <f t="shared" si="153"/>
        <v>Distrital</v>
      </c>
      <c r="W852" s="87" t="s">
        <v>73</v>
      </c>
      <c r="X852" s="87"/>
      <c r="Y852" s="87"/>
      <c r="Z852" s="87"/>
      <c r="AA852" s="87"/>
      <c r="AB852" s="87"/>
      <c r="AC852" s="90" t="str">
        <f t="shared" si="154"/>
        <v>Distrital</v>
      </c>
      <c r="AD852" s="87" t="s">
        <v>73</v>
      </c>
      <c r="AE852" s="87"/>
      <c r="AF852" s="87"/>
      <c r="AG852" s="87"/>
      <c r="AH852" s="87"/>
      <c r="AI852" s="87"/>
      <c r="AJ852" s="87"/>
      <c r="AK852" s="87"/>
      <c r="AL852" s="87"/>
      <c r="AM852" s="87"/>
      <c r="AN852" s="90" t="s">
        <v>160</v>
      </c>
      <c r="AO852" s="90" t="s">
        <v>3712</v>
      </c>
      <c r="AP852" s="82"/>
      <c r="AQ852" s="87" t="s">
        <v>59</v>
      </c>
      <c r="AR852" s="87" t="s">
        <v>80</v>
      </c>
      <c r="AS852" s="82"/>
      <c r="AT852" s="87">
        <v>0</v>
      </c>
      <c r="AU852" s="87">
        <v>11</v>
      </c>
      <c r="AV852" s="87">
        <f>AT852+AU852</f>
        <v>11</v>
      </c>
      <c r="AW852" s="87" t="str">
        <f t="shared" si="151"/>
        <v>Ninguna</v>
      </c>
      <c r="AX852" s="87" t="s">
        <v>75</v>
      </c>
      <c r="AY852" s="87"/>
      <c r="AZ852" s="87"/>
      <c r="BA852" s="91" t="s">
        <v>3954</v>
      </c>
      <c r="BB852" s="84"/>
      <c r="BC852" s="85"/>
      <c r="BD852" s="85"/>
    </row>
    <row r="853" spans="1:56" s="86" customFormat="1" ht="57" customHeight="1">
      <c r="A853" s="87">
        <v>848</v>
      </c>
      <c r="B853" s="79" t="s">
        <v>3955</v>
      </c>
      <c r="C853" s="88">
        <v>45525</v>
      </c>
      <c r="D853" s="89">
        <v>0.70833333333333337</v>
      </c>
      <c r="E853" s="87" t="s">
        <v>93</v>
      </c>
      <c r="F853" s="87" t="s">
        <v>102</v>
      </c>
      <c r="G853" s="87" t="s">
        <v>62</v>
      </c>
      <c r="H853" s="90" t="s">
        <v>3956</v>
      </c>
      <c r="I853" s="90" t="s">
        <v>64</v>
      </c>
      <c r="J853" s="87" t="s">
        <v>173</v>
      </c>
      <c r="K853" s="87"/>
      <c r="L853" s="90" t="s">
        <v>72</v>
      </c>
      <c r="M853" s="91" t="s">
        <v>72</v>
      </c>
      <c r="N853" s="90" t="s">
        <v>72</v>
      </c>
      <c r="O853" s="90" t="str">
        <f t="shared" si="156"/>
        <v>Distrital</v>
      </c>
      <c r="P853" s="87" t="s">
        <v>73</v>
      </c>
      <c r="Q853" s="87"/>
      <c r="R853" s="87"/>
      <c r="S853" s="87"/>
      <c r="T853" s="87"/>
      <c r="U853" s="87"/>
      <c r="V853" s="90" t="str">
        <f t="shared" si="153"/>
        <v>Distrital</v>
      </c>
      <c r="W853" s="87" t="s">
        <v>73</v>
      </c>
      <c r="X853" s="87"/>
      <c r="Y853" s="87"/>
      <c r="Z853" s="87"/>
      <c r="AA853" s="87"/>
      <c r="AB853" s="87"/>
      <c r="AC853" s="90" t="str">
        <f t="shared" si="154"/>
        <v>Distrital</v>
      </c>
      <c r="AD853" s="87" t="s">
        <v>73</v>
      </c>
      <c r="AE853" s="87"/>
      <c r="AF853" s="87"/>
      <c r="AG853" s="87"/>
      <c r="AH853" s="87"/>
      <c r="AI853" s="87"/>
      <c r="AJ853" s="87"/>
      <c r="AK853" s="87"/>
      <c r="AL853" s="87"/>
      <c r="AM853" s="87"/>
      <c r="AN853" s="90" t="s">
        <v>160</v>
      </c>
      <c r="AO853" s="90" t="s">
        <v>1933</v>
      </c>
      <c r="AP853" s="82"/>
      <c r="AQ853" s="87" t="s">
        <v>59</v>
      </c>
      <c r="AR853" s="87" t="s">
        <v>80</v>
      </c>
      <c r="AS853" s="82"/>
      <c r="AT853" s="87">
        <v>3</v>
      </c>
      <c r="AU853" s="87">
        <v>9</v>
      </c>
      <c r="AV853" s="87">
        <f>AT853+AU853</f>
        <v>12</v>
      </c>
      <c r="AW853" s="87" t="str">
        <f t="shared" si="151"/>
        <v>Ninguna</v>
      </c>
      <c r="AX853" s="87" t="s">
        <v>75</v>
      </c>
      <c r="AY853" s="87"/>
      <c r="AZ853" s="87"/>
      <c r="BA853" s="113" t="s">
        <v>3957</v>
      </c>
      <c r="BB853" s="84"/>
      <c r="BC853" s="85"/>
      <c r="BD853" s="85"/>
    </row>
    <row r="854" spans="1:56" s="86" customFormat="1" ht="57" customHeight="1">
      <c r="A854" s="78">
        <v>849</v>
      </c>
      <c r="B854" s="79" t="s">
        <v>3958</v>
      </c>
      <c r="C854" s="88">
        <v>45526</v>
      </c>
      <c r="D854" s="89">
        <v>0.41666666666666669</v>
      </c>
      <c r="E854" s="87" t="s">
        <v>58</v>
      </c>
      <c r="F854" s="87" t="s">
        <v>1142</v>
      </c>
      <c r="G854" s="87" t="s">
        <v>62</v>
      </c>
      <c r="H854" s="90" t="s">
        <v>3959</v>
      </c>
      <c r="I854" s="90" t="s">
        <v>118</v>
      </c>
      <c r="J854" s="87" t="s">
        <v>70</v>
      </c>
      <c r="K854" s="87" t="s">
        <v>71</v>
      </c>
      <c r="L854" s="90" t="s">
        <v>72</v>
      </c>
      <c r="M854" s="91" t="s">
        <v>72</v>
      </c>
      <c r="N854" s="90" t="s">
        <v>72</v>
      </c>
      <c r="O854" s="90" t="str">
        <f t="shared" si="156"/>
        <v>Distrital</v>
      </c>
      <c r="P854" s="87" t="s">
        <v>73</v>
      </c>
      <c r="Q854" s="87"/>
      <c r="R854" s="87"/>
      <c r="S854" s="87"/>
      <c r="T854" s="87"/>
      <c r="U854" s="87"/>
      <c r="V854" s="90" t="str">
        <f t="shared" si="153"/>
        <v>Distrital</v>
      </c>
      <c r="W854" s="87" t="s">
        <v>73</v>
      </c>
      <c r="X854" s="87"/>
      <c r="Y854" s="87"/>
      <c r="Z854" s="87"/>
      <c r="AA854" s="87"/>
      <c r="AB854" s="87"/>
      <c r="AC854" s="90" t="str">
        <f t="shared" si="154"/>
        <v>Distrital</v>
      </c>
      <c r="AD854" s="87" t="s">
        <v>73</v>
      </c>
      <c r="AE854" s="87"/>
      <c r="AF854" s="87"/>
      <c r="AG854" s="87"/>
      <c r="AH854" s="87"/>
      <c r="AI854" s="87"/>
      <c r="AJ854" s="87"/>
      <c r="AK854" s="87"/>
      <c r="AL854" s="87"/>
      <c r="AM854" s="87"/>
      <c r="AN854" s="90" t="s">
        <v>72</v>
      </c>
      <c r="AO854" s="90" t="s">
        <v>3960</v>
      </c>
      <c r="AP854" s="82"/>
      <c r="AQ854" s="87" t="s">
        <v>59</v>
      </c>
      <c r="AR854" s="87" t="s">
        <v>80</v>
      </c>
      <c r="AS854" s="82"/>
      <c r="AT854" s="87">
        <v>0</v>
      </c>
      <c r="AU854" s="87">
        <v>6</v>
      </c>
      <c r="AV854" s="87">
        <f>AT854+AU854</f>
        <v>6</v>
      </c>
      <c r="AW854" s="87" t="str">
        <f t="shared" si="151"/>
        <v>Ninguna</v>
      </c>
      <c r="AX854" s="87" t="s">
        <v>75</v>
      </c>
      <c r="AY854" s="87"/>
      <c r="AZ854" s="114"/>
      <c r="BA854" s="115" t="s">
        <v>3961</v>
      </c>
      <c r="BB854" s="84"/>
      <c r="BC854" s="85"/>
      <c r="BD854" s="85"/>
    </row>
    <row r="855" spans="1:56" s="86" customFormat="1" ht="57" customHeight="1">
      <c r="A855" s="87">
        <v>850</v>
      </c>
      <c r="B855" s="79" t="s">
        <v>3962</v>
      </c>
      <c r="C855" s="88">
        <v>45526</v>
      </c>
      <c r="D855" s="89">
        <v>0.70833333333333337</v>
      </c>
      <c r="E855" s="87" t="s">
        <v>93</v>
      </c>
      <c r="F855" s="87" t="s">
        <v>102</v>
      </c>
      <c r="G855" s="87" t="s">
        <v>95</v>
      </c>
      <c r="H855" s="90" t="s">
        <v>3963</v>
      </c>
      <c r="I855" s="90" t="s">
        <v>118</v>
      </c>
      <c r="J855" s="87" t="s">
        <v>173</v>
      </c>
      <c r="K855" s="87"/>
      <c r="L855" s="90" t="s">
        <v>3964</v>
      </c>
      <c r="M855" s="91" t="s">
        <v>3965</v>
      </c>
      <c r="N855" s="90" t="s">
        <v>439</v>
      </c>
      <c r="O855" s="90" t="str">
        <f t="shared" si="156"/>
        <v>Distrital</v>
      </c>
      <c r="P855" s="87" t="s">
        <v>73</v>
      </c>
      <c r="Q855" s="87"/>
      <c r="R855" s="87"/>
      <c r="S855" s="87"/>
      <c r="T855" s="87"/>
      <c r="U855" s="87"/>
      <c r="V855" s="90" t="str">
        <f t="shared" si="153"/>
        <v>Distrital</v>
      </c>
      <c r="W855" s="87" t="s">
        <v>73</v>
      </c>
      <c r="X855" s="87"/>
      <c r="Y855" s="87"/>
      <c r="Z855" s="87"/>
      <c r="AA855" s="87"/>
      <c r="AB855" s="87"/>
      <c r="AC855" s="90" t="str">
        <f t="shared" si="154"/>
        <v>Distrital</v>
      </c>
      <c r="AD855" s="87" t="s">
        <v>73</v>
      </c>
      <c r="AE855" s="87"/>
      <c r="AF855" s="87"/>
      <c r="AG855" s="87"/>
      <c r="AH855" s="87"/>
      <c r="AI855" s="87"/>
      <c r="AJ855" s="87"/>
      <c r="AK855" s="87"/>
      <c r="AL855" s="87"/>
      <c r="AM855" s="87"/>
      <c r="AN855" s="90" t="s">
        <v>72</v>
      </c>
      <c r="AO855" s="102" t="s">
        <v>2667</v>
      </c>
      <c r="AP855" s="82"/>
      <c r="AQ855" s="87" t="s">
        <v>59</v>
      </c>
      <c r="AR855" s="87" t="s">
        <v>80</v>
      </c>
      <c r="AS855" s="82"/>
      <c r="AT855" s="87">
        <v>25</v>
      </c>
      <c r="AU855" s="87">
        <v>2</v>
      </c>
      <c r="AV855" s="87">
        <f t="shared" ref="AV855:AV858" si="158">AT855+AU855</f>
        <v>27</v>
      </c>
      <c r="AW855" s="87" t="str">
        <f t="shared" si="151"/>
        <v>Ninguna</v>
      </c>
      <c r="AX855" s="87" t="s">
        <v>75</v>
      </c>
      <c r="AY855" s="87"/>
      <c r="AZ855" s="114"/>
      <c r="BA855" s="116" t="s">
        <v>3966</v>
      </c>
      <c r="BB855" s="84"/>
      <c r="BC855" s="85"/>
      <c r="BD855" s="85"/>
    </row>
    <row r="856" spans="1:56" s="86" customFormat="1" ht="51" customHeight="1">
      <c r="A856" s="78">
        <v>851</v>
      </c>
      <c r="B856" s="79" t="s">
        <v>3967</v>
      </c>
      <c r="C856" s="88">
        <v>45527</v>
      </c>
      <c r="D856" s="89">
        <v>0.33333333333333331</v>
      </c>
      <c r="E856" s="87" t="s">
        <v>93</v>
      </c>
      <c r="F856" s="87" t="s">
        <v>102</v>
      </c>
      <c r="G856" s="87" t="s">
        <v>62</v>
      </c>
      <c r="H856" s="90" t="s">
        <v>3968</v>
      </c>
      <c r="I856" s="90" t="s">
        <v>118</v>
      </c>
      <c r="J856" s="87" t="s">
        <v>173</v>
      </c>
      <c r="K856" s="87"/>
      <c r="L856" s="90" t="s">
        <v>3969</v>
      </c>
      <c r="M856" s="91" t="s">
        <v>3970</v>
      </c>
      <c r="N856" s="90" t="s">
        <v>72</v>
      </c>
      <c r="O856" s="90" t="str">
        <f t="shared" si="156"/>
        <v>Distrital</v>
      </c>
      <c r="P856" s="87" t="s">
        <v>73</v>
      </c>
      <c r="Q856" s="87"/>
      <c r="R856" s="87"/>
      <c r="S856" s="87"/>
      <c r="T856" s="87"/>
      <c r="U856" s="87"/>
      <c r="V856" s="90" t="str">
        <f t="shared" si="153"/>
        <v>Distrital</v>
      </c>
      <c r="W856" s="87" t="s">
        <v>73</v>
      </c>
      <c r="X856" s="87"/>
      <c r="Y856" s="87"/>
      <c r="Z856" s="87"/>
      <c r="AA856" s="87"/>
      <c r="AB856" s="87"/>
      <c r="AC856" s="90" t="str">
        <f t="shared" si="154"/>
        <v>Distrital</v>
      </c>
      <c r="AD856" s="87" t="s">
        <v>73</v>
      </c>
      <c r="AE856" s="87"/>
      <c r="AF856" s="87"/>
      <c r="AG856" s="87"/>
      <c r="AH856" s="87"/>
      <c r="AI856" s="87"/>
      <c r="AJ856" s="87"/>
      <c r="AK856" s="87"/>
      <c r="AL856" s="87"/>
      <c r="AM856" s="87"/>
      <c r="AN856" s="90" t="s">
        <v>160</v>
      </c>
      <c r="AO856" s="117" t="s">
        <v>3971</v>
      </c>
      <c r="AP856" s="82"/>
      <c r="AQ856" s="87" t="s">
        <v>59</v>
      </c>
      <c r="AR856" s="87" t="s">
        <v>80</v>
      </c>
      <c r="AS856" s="82"/>
      <c r="AT856" s="87">
        <v>60</v>
      </c>
      <c r="AU856" s="87">
        <v>6</v>
      </c>
      <c r="AV856" s="87">
        <f t="shared" si="158"/>
        <v>66</v>
      </c>
      <c r="AW856" s="87" t="str">
        <f t="shared" si="151"/>
        <v>Ninguna</v>
      </c>
      <c r="AX856" s="87" t="s">
        <v>75</v>
      </c>
      <c r="AY856" s="87"/>
      <c r="AZ856" s="87"/>
      <c r="BA856" s="83" t="s">
        <v>3972</v>
      </c>
      <c r="BB856" s="84"/>
      <c r="BC856" s="85"/>
      <c r="BD856" s="85"/>
    </row>
    <row r="857" spans="1:56" s="86" customFormat="1" ht="57" customHeight="1">
      <c r="A857" s="87">
        <v>852</v>
      </c>
      <c r="B857" s="79" t="s">
        <v>3948</v>
      </c>
      <c r="C857" s="88">
        <v>45530</v>
      </c>
      <c r="D857" s="89">
        <v>0.70833333333333337</v>
      </c>
      <c r="E857" s="87" t="s">
        <v>93</v>
      </c>
      <c r="F857" s="87" t="s">
        <v>102</v>
      </c>
      <c r="G857" s="87" t="s">
        <v>95</v>
      </c>
      <c r="H857" s="90" t="s">
        <v>3973</v>
      </c>
      <c r="I857" s="90" t="s">
        <v>118</v>
      </c>
      <c r="J857" s="87" t="s">
        <v>173</v>
      </c>
      <c r="K857" s="87"/>
      <c r="L857" s="90" t="s">
        <v>80</v>
      </c>
      <c r="M857" s="91" t="s">
        <v>80</v>
      </c>
      <c r="N857" s="90" t="s">
        <v>80</v>
      </c>
      <c r="O857" s="90" t="str">
        <f t="shared" si="156"/>
        <v>Distrital</v>
      </c>
      <c r="P857" s="87" t="s">
        <v>73</v>
      </c>
      <c r="Q857" s="87"/>
      <c r="R857" s="87"/>
      <c r="S857" s="87"/>
      <c r="T857" s="87"/>
      <c r="U857" s="87"/>
      <c r="V857" s="90" t="str">
        <f t="shared" si="153"/>
        <v>Distrital</v>
      </c>
      <c r="W857" s="87" t="s">
        <v>73</v>
      </c>
      <c r="X857" s="87"/>
      <c r="Y857" s="87"/>
      <c r="Z857" s="87"/>
      <c r="AA857" s="87"/>
      <c r="AB857" s="87"/>
      <c r="AC857" s="90" t="str">
        <f t="shared" si="154"/>
        <v>Distrital</v>
      </c>
      <c r="AD857" s="87" t="s">
        <v>73</v>
      </c>
      <c r="AE857" s="87"/>
      <c r="AF857" s="87"/>
      <c r="AG857" s="87"/>
      <c r="AH857" s="87"/>
      <c r="AI857" s="87"/>
      <c r="AJ857" s="87"/>
      <c r="AK857" s="87"/>
      <c r="AL857" s="87"/>
      <c r="AM857" s="87"/>
      <c r="AN857" s="90" t="s">
        <v>160</v>
      </c>
      <c r="AO857" s="118" t="s">
        <v>2667</v>
      </c>
      <c r="AP857" s="82"/>
      <c r="AQ857" s="87" t="s">
        <v>59</v>
      </c>
      <c r="AR857" s="87" t="s">
        <v>80</v>
      </c>
      <c r="AS857" s="82"/>
      <c r="AT857" s="87">
        <v>10</v>
      </c>
      <c r="AU857" s="87">
        <v>1</v>
      </c>
      <c r="AV857" s="87">
        <f t="shared" si="158"/>
        <v>11</v>
      </c>
      <c r="AW857" s="87" t="str">
        <f t="shared" si="151"/>
        <v>Ninguna</v>
      </c>
      <c r="AX857" s="87" t="s">
        <v>75</v>
      </c>
      <c r="AY857" s="87"/>
      <c r="AZ857" s="114"/>
      <c r="BA857" s="119" t="s">
        <v>3974</v>
      </c>
      <c r="BB857" s="84"/>
      <c r="BC857" s="85"/>
      <c r="BD857" s="85"/>
    </row>
    <row r="858" spans="1:56" s="86" customFormat="1" ht="57" customHeight="1">
      <c r="A858" s="78">
        <v>853</v>
      </c>
      <c r="B858" s="79" t="s">
        <v>2337</v>
      </c>
      <c r="C858" s="88">
        <v>45531</v>
      </c>
      <c r="D858" s="89">
        <v>0.4375</v>
      </c>
      <c r="E858" s="87" t="s">
        <v>93</v>
      </c>
      <c r="F858" s="87" t="s">
        <v>321</v>
      </c>
      <c r="G858" s="87" t="s">
        <v>62</v>
      </c>
      <c r="H858" s="90" t="s">
        <v>3975</v>
      </c>
      <c r="I858" s="90" t="s">
        <v>118</v>
      </c>
      <c r="J858" s="87" t="s">
        <v>70</v>
      </c>
      <c r="K858" s="87" t="s">
        <v>1810</v>
      </c>
      <c r="L858" s="90" t="s">
        <v>484</v>
      </c>
      <c r="M858" s="91" t="s">
        <v>3194</v>
      </c>
      <c r="N858" s="90" t="s">
        <v>3977</v>
      </c>
      <c r="O858" s="90" t="str">
        <f t="shared" si="156"/>
        <v>Los Mártires</v>
      </c>
      <c r="P858" s="87" t="s">
        <v>542</v>
      </c>
      <c r="Q858" s="87"/>
      <c r="R858" s="87"/>
      <c r="S858" s="87"/>
      <c r="T858" s="87"/>
      <c r="U858" s="87"/>
      <c r="V858" s="90" t="str">
        <f t="shared" si="153"/>
        <v>Centro Ampliado</v>
      </c>
      <c r="W858" s="87" t="s">
        <v>415</v>
      </c>
      <c r="X858" s="87"/>
      <c r="Y858" s="87"/>
      <c r="Z858" s="87"/>
      <c r="AA858" s="87"/>
      <c r="AB858" s="87"/>
      <c r="AC858" s="90" t="str">
        <f t="shared" si="154"/>
        <v>Centro Histórico</v>
      </c>
      <c r="AD858" s="87" t="s">
        <v>488</v>
      </c>
      <c r="AE858" s="87"/>
      <c r="AF858" s="87"/>
      <c r="AG858" s="87"/>
      <c r="AH858" s="87"/>
      <c r="AI858" s="87"/>
      <c r="AJ858" s="87"/>
      <c r="AK858" s="87"/>
      <c r="AL858" s="87"/>
      <c r="AM858" s="87"/>
      <c r="AN858" s="90" t="s">
        <v>3978</v>
      </c>
      <c r="AO858" s="120" t="s">
        <v>3979</v>
      </c>
      <c r="AP858" s="82"/>
      <c r="AQ858" s="87" t="s">
        <v>59</v>
      </c>
      <c r="AR858" s="87" t="s">
        <v>80</v>
      </c>
      <c r="AS858" s="82"/>
      <c r="AT858" s="87">
        <v>18</v>
      </c>
      <c r="AU858" s="87">
        <v>1</v>
      </c>
      <c r="AV858" s="87">
        <f t="shared" si="158"/>
        <v>19</v>
      </c>
      <c r="AW858" s="87" t="str">
        <f t="shared" si="151"/>
        <v>Ninguna</v>
      </c>
      <c r="AX858" s="87" t="s">
        <v>75</v>
      </c>
      <c r="AY858" s="87"/>
      <c r="AZ858" s="87"/>
      <c r="BA858" s="91" t="s">
        <v>3980</v>
      </c>
      <c r="BB858" s="84"/>
      <c r="BC858" s="85"/>
      <c r="BD858" s="85"/>
    </row>
    <row r="859" spans="1:56" s="86" customFormat="1" ht="57" customHeight="1">
      <c r="A859" s="87">
        <v>854</v>
      </c>
      <c r="B859" s="79" t="s">
        <v>3981</v>
      </c>
      <c r="C859" s="88">
        <v>45531</v>
      </c>
      <c r="D859" s="89">
        <v>0.58333333333333337</v>
      </c>
      <c r="E859" s="87" t="s">
        <v>58</v>
      </c>
      <c r="F859" s="87" t="s">
        <v>61</v>
      </c>
      <c r="G859" s="87" t="s">
        <v>95</v>
      </c>
      <c r="H859" s="90" t="s">
        <v>3982</v>
      </c>
      <c r="I859" s="90" t="s">
        <v>128</v>
      </c>
      <c r="J859" s="87" t="s">
        <v>173</v>
      </c>
      <c r="K859" s="87"/>
      <c r="L859" s="90" t="s">
        <v>3984</v>
      </c>
      <c r="M859" s="91" t="s">
        <v>3985</v>
      </c>
      <c r="N859" s="90" t="s">
        <v>349</v>
      </c>
      <c r="O859" s="90" t="str">
        <f t="shared" si="156"/>
        <v>Distrital</v>
      </c>
      <c r="P859" s="87" t="s">
        <v>73</v>
      </c>
      <c r="Q859" s="87"/>
      <c r="R859" s="87"/>
      <c r="S859" s="87"/>
      <c r="T859" s="87"/>
      <c r="U859" s="87"/>
      <c r="V859" s="90" t="str">
        <f t="shared" si="153"/>
        <v>Distrital</v>
      </c>
      <c r="W859" s="87" t="s">
        <v>73</v>
      </c>
      <c r="X859" s="87"/>
      <c r="Y859" s="87"/>
      <c r="Z859" s="87"/>
      <c r="AA859" s="87"/>
      <c r="AB859" s="87"/>
      <c r="AC859" s="90" t="str">
        <f t="shared" si="154"/>
        <v>Distrital</v>
      </c>
      <c r="AD859" s="87" t="s">
        <v>73</v>
      </c>
      <c r="AE859" s="87"/>
      <c r="AF859" s="87"/>
      <c r="AG859" s="87"/>
      <c r="AH859" s="87"/>
      <c r="AI859" s="87"/>
      <c r="AJ859" s="87"/>
      <c r="AK859" s="87"/>
      <c r="AL859" s="87"/>
      <c r="AM859" s="87"/>
      <c r="AN859" s="90" t="s">
        <v>72</v>
      </c>
      <c r="AO859" s="118" t="s">
        <v>2667</v>
      </c>
      <c r="AP859" s="82"/>
      <c r="AQ859" s="87" t="s">
        <v>60</v>
      </c>
      <c r="AR859" s="87" t="s">
        <v>2854</v>
      </c>
      <c r="AS859" s="82"/>
      <c r="AT859" s="87">
        <v>7</v>
      </c>
      <c r="AU859" s="87">
        <v>3</v>
      </c>
      <c r="AV859" s="87">
        <f>AT859+AU859</f>
        <v>10</v>
      </c>
      <c r="AW859" s="87"/>
      <c r="AX859" s="87" t="s">
        <v>213</v>
      </c>
      <c r="AY859" s="87"/>
      <c r="AZ859" s="114"/>
      <c r="BA859" s="119" t="s">
        <v>3986</v>
      </c>
      <c r="BB859" s="84"/>
      <c r="BC859" s="85"/>
      <c r="BD859" s="85"/>
    </row>
    <row r="860" spans="1:56" s="86" customFormat="1" ht="57" customHeight="1">
      <c r="A860" s="78">
        <v>855</v>
      </c>
      <c r="B860" s="79" t="s">
        <v>3987</v>
      </c>
      <c r="C860" s="88">
        <v>45531</v>
      </c>
      <c r="D860" s="89">
        <v>0.66666666666666663</v>
      </c>
      <c r="E860" s="87" t="s">
        <v>93</v>
      </c>
      <c r="F860" s="87" t="s">
        <v>102</v>
      </c>
      <c r="G860" s="87" t="s">
        <v>95</v>
      </c>
      <c r="H860" s="90" t="s">
        <v>3988</v>
      </c>
      <c r="I860" s="90" t="s">
        <v>118</v>
      </c>
      <c r="J860" s="87" t="s">
        <v>173</v>
      </c>
      <c r="K860" s="87"/>
      <c r="L860" s="90" t="s">
        <v>3989</v>
      </c>
      <c r="M860" s="91" t="s">
        <v>3012</v>
      </c>
      <c r="N860" s="90" t="s">
        <v>439</v>
      </c>
      <c r="O860" s="90" t="str">
        <f t="shared" ref="O860:O884" si="159">_xlfn.TEXTJOIN(", ",TRUE,$P860:$T860)</f>
        <v>Distrital</v>
      </c>
      <c r="P860" s="87" t="s">
        <v>73</v>
      </c>
      <c r="Q860" s="87"/>
      <c r="R860" s="87"/>
      <c r="S860" s="87"/>
      <c r="T860" s="87"/>
      <c r="U860" s="87"/>
      <c r="V860" s="90" t="str">
        <f t="shared" ref="V860:V884" si="160">_xlfn.TEXTJOIN(", ",TRUE,$W860:$AB860)</f>
        <v>Distrital</v>
      </c>
      <c r="W860" s="87" t="s">
        <v>73</v>
      </c>
      <c r="X860" s="87"/>
      <c r="Y860" s="87"/>
      <c r="Z860" s="87"/>
      <c r="AA860" s="87"/>
      <c r="AB860" s="87"/>
      <c r="AC860" s="90" t="str">
        <f t="shared" ref="AC860:AC884" si="161">_xlfn.TEXTJOIN(", ",TRUE,$AD860:$AM860)</f>
        <v>Distrital</v>
      </c>
      <c r="AD860" s="87" t="s">
        <v>73</v>
      </c>
      <c r="AE860" s="87"/>
      <c r="AF860" s="87"/>
      <c r="AG860" s="87"/>
      <c r="AH860" s="87"/>
      <c r="AI860" s="87"/>
      <c r="AJ860" s="87"/>
      <c r="AK860" s="87"/>
      <c r="AL860" s="87"/>
      <c r="AM860" s="87"/>
      <c r="AN860" s="90" t="s">
        <v>80</v>
      </c>
      <c r="AO860" s="121" t="s">
        <v>2667</v>
      </c>
      <c r="AP860" s="82"/>
      <c r="AQ860" s="87" t="s">
        <v>59</v>
      </c>
      <c r="AR860" s="87" t="s">
        <v>80</v>
      </c>
      <c r="AS860" s="82"/>
      <c r="AT860" s="87">
        <v>28</v>
      </c>
      <c r="AU860" s="87">
        <v>2</v>
      </c>
      <c r="AV860" s="87">
        <f t="shared" ref="AV860:AV884" si="162">AT860+AU860</f>
        <v>30</v>
      </c>
      <c r="AW860" s="87" t="str">
        <f t="shared" si="151"/>
        <v>Ninguna</v>
      </c>
      <c r="AX860" s="87" t="s">
        <v>75</v>
      </c>
      <c r="AY860" s="87"/>
      <c r="AZ860" s="114"/>
      <c r="BA860" s="115" t="s">
        <v>3990</v>
      </c>
      <c r="BB860" s="84"/>
      <c r="BC860" s="85"/>
      <c r="BD860" s="85"/>
    </row>
    <row r="861" spans="1:56" s="86" customFormat="1" ht="57" customHeight="1">
      <c r="A861" s="87">
        <v>856</v>
      </c>
      <c r="B861" s="79" t="s">
        <v>3221</v>
      </c>
      <c r="C861" s="88">
        <v>45531</v>
      </c>
      <c r="D861" s="89">
        <v>0.75</v>
      </c>
      <c r="E861" s="87" t="s">
        <v>93</v>
      </c>
      <c r="F861" s="87" t="s">
        <v>102</v>
      </c>
      <c r="G861" s="87" t="s">
        <v>95</v>
      </c>
      <c r="H861" s="90" t="s">
        <v>3991</v>
      </c>
      <c r="I861" s="90" t="s">
        <v>118</v>
      </c>
      <c r="J861" s="87" t="s">
        <v>173</v>
      </c>
      <c r="K861" s="87"/>
      <c r="L861" s="90" t="s">
        <v>3993</v>
      </c>
      <c r="M861" s="91" t="s">
        <v>2894</v>
      </c>
      <c r="N861" s="90" t="s">
        <v>2895</v>
      </c>
      <c r="O861" s="90" t="str">
        <f t="shared" si="159"/>
        <v>Distrital</v>
      </c>
      <c r="P861" s="87" t="s">
        <v>73</v>
      </c>
      <c r="Q861" s="87"/>
      <c r="R861" s="87"/>
      <c r="S861" s="87"/>
      <c r="T861" s="87"/>
      <c r="U861" s="87"/>
      <c r="V861" s="90" t="str">
        <f t="shared" si="160"/>
        <v>Distrital</v>
      </c>
      <c r="W861" s="87" t="s">
        <v>73</v>
      </c>
      <c r="X861" s="87"/>
      <c r="Y861" s="87"/>
      <c r="Z861" s="87"/>
      <c r="AA861" s="87"/>
      <c r="AB861" s="87"/>
      <c r="AC861" s="90" t="str">
        <f t="shared" si="161"/>
        <v>Distrital</v>
      </c>
      <c r="AD861" s="87" t="s">
        <v>73</v>
      </c>
      <c r="AE861" s="87"/>
      <c r="AF861" s="87"/>
      <c r="AG861" s="87"/>
      <c r="AH861" s="87"/>
      <c r="AI861" s="87"/>
      <c r="AJ861" s="87"/>
      <c r="AK861" s="87"/>
      <c r="AL861" s="87"/>
      <c r="AM861" s="87"/>
      <c r="AN861" s="90" t="s">
        <v>80</v>
      </c>
      <c r="AO861" s="118" t="s">
        <v>2667</v>
      </c>
      <c r="AP861" s="82"/>
      <c r="AQ861" s="87" t="s">
        <v>59</v>
      </c>
      <c r="AR861" s="87" t="s">
        <v>80</v>
      </c>
      <c r="AS861" s="82"/>
      <c r="AT861" s="87">
        <v>11</v>
      </c>
      <c r="AU861" s="87">
        <v>1</v>
      </c>
      <c r="AV861" s="87">
        <f t="shared" si="162"/>
        <v>12</v>
      </c>
      <c r="AW861" s="87" t="str">
        <f t="shared" si="151"/>
        <v>Ninguna</v>
      </c>
      <c r="AX861" s="87" t="s">
        <v>75</v>
      </c>
      <c r="AY861" s="87"/>
      <c r="AZ861" s="114"/>
      <c r="BA861" s="119" t="s">
        <v>3994</v>
      </c>
      <c r="BB861" s="84"/>
      <c r="BC861" s="85"/>
      <c r="BD861" s="85"/>
    </row>
    <row r="862" spans="1:56" s="86" customFormat="1" ht="57" customHeight="1">
      <c r="A862" s="78">
        <v>857</v>
      </c>
      <c r="B862" s="79" t="s">
        <v>3995</v>
      </c>
      <c r="C862" s="88">
        <v>45532</v>
      </c>
      <c r="D862" s="89">
        <v>0.32291666666666669</v>
      </c>
      <c r="E862" s="87" t="s">
        <v>58</v>
      </c>
      <c r="F862" s="87" t="s">
        <v>1437</v>
      </c>
      <c r="G862" s="87" t="s">
        <v>62</v>
      </c>
      <c r="H862" s="90" t="s">
        <v>3996</v>
      </c>
      <c r="I862" s="90" t="s">
        <v>118</v>
      </c>
      <c r="J862" s="87" t="s">
        <v>70</v>
      </c>
      <c r="K862" s="87"/>
      <c r="L862" s="90" t="s">
        <v>80</v>
      </c>
      <c r="M862" s="91" t="s">
        <v>80</v>
      </c>
      <c r="N862" s="90" t="s">
        <v>80</v>
      </c>
      <c r="O862" s="90" t="str">
        <f t="shared" si="159"/>
        <v>Distrital</v>
      </c>
      <c r="P862" s="87" t="s">
        <v>73</v>
      </c>
      <c r="Q862" s="87"/>
      <c r="R862" s="87"/>
      <c r="S862" s="87"/>
      <c r="T862" s="87"/>
      <c r="U862" s="87"/>
      <c r="V862" s="90" t="str">
        <f t="shared" si="160"/>
        <v>Distrital</v>
      </c>
      <c r="W862" s="87" t="s">
        <v>73</v>
      </c>
      <c r="X862" s="87"/>
      <c r="Y862" s="87"/>
      <c r="Z862" s="87"/>
      <c r="AA862" s="87"/>
      <c r="AB862" s="87"/>
      <c r="AC862" s="90" t="str">
        <f t="shared" si="161"/>
        <v>Distrital</v>
      </c>
      <c r="AD862" s="87" t="s">
        <v>73</v>
      </c>
      <c r="AE862" s="87"/>
      <c r="AF862" s="87"/>
      <c r="AG862" s="87"/>
      <c r="AH862" s="87"/>
      <c r="AI862" s="87"/>
      <c r="AJ862" s="87"/>
      <c r="AK862" s="87"/>
      <c r="AL862" s="87"/>
      <c r="AM862" s="87"/>
      <c r="AN862" s="90" t="s">
        <v>80</v>
      </c>
      <c r="AO862" s="118" t="s">
        <v>3382</v>
      </c>
      <c r="AP862" s="82"/>
      <c r="AQ862" s="87" t="s">
        <v>59</v>
      </c>
      <c r="AR862" s="87" t="s">
        <v>80</v>
      </c>
      <c r="AS862" s="82"/>
      <c r="AT862" s="87">
        <v>0</v>
      </c>
      <c r="AU862" s="87">
        <v>60</v>
      </c>
      <c r="AV862" s="87">
        <f t="shared" si="162"/>
        <v>60</v>
      </c>
      <c r="AW862" s="87" t="str">
        <f t="shared" si="151"/>
        <v>Ninguna</v>
      </c>
      <c r="AX862" s="87" t="s">
        <v>75</v>
      </c>
      <c r="AY862" s="87"/>
      <c r="AZ862" s="114"/>
      <c r="BA862" s="119" t="s">
        <v>3998</v>
      </c>
      <c r="BB862" s="84"/>
      <c r="BC862" s="85"/>
      <c r="BD862" s="85"/>
    </row>
    <row r="863" spans="1:56" s="86" customFormat="1" ht="57" customHeight="1">
      <c r="A863" s="87">
        <v>858</v>
      </c>
      <c r="B863" s="79" t="s">
        <v>3999</v>
      </c>
      <c r="C863" s="88">
        <v>45532</v>
      </c>
      <c r="D863" s="89">
        <v>0.33333333333333331</v>
      </c>
      <c r="E863" s="87" t="s">
        <v>58</v>
      </c>
      <c r="F863" s="87" t="s">
        <v>2227</v>
      </c>
      <c r="G863" s="87" t="s">
        <v>62</v>
      </c>
      <c r="H863" s="90" t="s">
        <v>4000</v>
      </c>
      <c r="I863" s="90" t="s">
        <v>188</v>
      </c>
      <c r="J863" s="87" t="s">
        <v>173</v>
      </c>
      <c r="K863" s="87"/>
      <c r="L863" s="90" t="s">
        <v>2229</v>
      </c>
      <c r="M863" s="91" t="s">
        <v>4001</v>
      </c>
      <c r="N863" s="90" t="s">
        <v>4002</v>
      </c>
      <c r="O863" s="90" t="str">
        <f t="shared" si="159"/>
        <v>Barrios Unidos</v>
      </c>
      <c r="P863" s="87" t="s">
        <v>686</v>
      </c>
      <c r="Q863" s="87"/>
      <c r="R863" s="87"/>
      <c r="S863" s="87"/>
      <c r="T863" s="87"/>
      <c r="U863" s="87"/>
      <c r="V863" s="90" t="str">
        <f t="shared" si="160"/>
        <v>Centro Ampliado</v>
      </c>
      <c r="W863" s="87" t="s">
        <v>415</v>
      </c>
      <c r="X863" s="87"/>
      <c r="Y863" s="87"/>
      <c r="Z863" s="87"/>
      <c r="AA863" s="87"/>
      <c r="AB863" s="87"/>
      <c r="AC863" s="90" t="str">
        <f t="shared" si="161"/>
        <v>Barrios Unidos</v>
      </c>
      <c r="AD863" s="87" t="s">
        <v>686</v>
      </c>
      <c r="AE863" s="87"/>
      <c r="AF863" s="87"/>
      <c r="AG863" s="87"/>
      <c r="AH863" s="87"/>
      <c r="AI863" s="87"/>
      <c r="AJ863" s="87"/>
      <c r="AK863" s="87"/>
      <c r="AL863" s="87"/>
      <c r="AM863" s="87"/>
      <c r="AN863" s="90" t="s">
        <v>4003</v>
      </c>
      <c r="AO863" s="122" t="s">
        <v>4004</v>
      </c>
      <c r="AP863" s="82"/>
      <c r="AQ863" s="87" t="s">
        <v>59</v>
      </c>
      <c r="AR863" s="87" t="s">
        <v>80</v>
      </c>
      <c r="AS863" s="82"/>
      <c r="AT863" s="87">
        <v>11</v>
      </c>
      <c r="AU863" s="87">
        <v>5</v>
      </c>
      <c r="AV863" s="87">
        <f t="shared" si="162"/>
        <v>16</v>
      </c>
      <c r="AW863" s="87" t="str">
        <f>_xlfn.TEXTJOIN(", ",TRUE,$AX863:$AZ863)</f>
        <v>Ninguna</v>
      </c>
      <c r="AX863" s="87" t="s">
        <v>75</v>
      </c>
      <c r="AY863" s="87"/>
      <c r="AZ863" s="114"/>
      <c r="BA863" s="119" t="s">
        <v>4005</v>
      </c>
      <c r="BB863" s="84"/>
      <c r="BC863" s="85"/>
      <c r="BD863" s="85"/>
    </row>
    <row r="864" spans="1:56" s="86" customFormat="1" ht="57" customHeight="1">
      <c r="A864" s="78">
        <v>859</v>
      </c>
      <c r="B864" s="79" t="s">
        <v>4006</v>
      </c>
      <c r="C864" s="88">
        <v>45532</v>
      </c>
      <c r="D864" s="89">
        <v>0.375</v>
      </c>
      <c r="E864" s="87" t="s">
        <v>58</v>
      </c>
      <c r="F864" s="87" t="s">
        <v>149</v>
      </c>
      <c r="G864" s="87" t="s">
        <v>62</v>
      </c>
      <c r="H864" s="90" t="s">
        <v>4007</v>
      </c>
      <c r="I864" s="90" t="s">
        <v>188</v>
      </c>
      <c r="J864" s="87" t="s">
        <v>70</v>
      </c>
      <c r="K864" s="87"/>
      <c r="L864" s="90" t="s">
        <v>80</v>
      </c>
      <c r="M864" s="91" t="s">
        <v>80</v>
      </c>
      <c r="N864" s="90" t="s">
        <v>80</v>
      </c>
      <c r="O864" s="90" t="str">
        <f t="shared" si="159"/>
        <v>Distrital</v>
      </c>
      <c r="P864" s="87" t="s">
        <v>73</v>
      </c>
      <c r="Q864" s="87"/>
      <c r="R864" s="87"/>
      <c r="S864" s="87"/>
      <c r="T864" s="87"/>
      <c r="U864" s="87"/>
      <c r="V864" s="90" t="str">
        <f t="shared" si="160"/>
        <v>Distrital</v>
      </c>
      <c r="W864" s="87" t="s">
        <v>73</v>
      </c>
      <c r="X864" s="87"/>
      <c r="Y864" s="87"/>
      <c r="Z864" s="87"/>
      <c r="AA864" s="87"/>
      <c r="AB864" s="87"/>
      <c r="AC864" s="90" t="str">
        <f t="shared" si="161"/>
        <v>Distrital</v>
      </c>
      <c r="AD864" s="87" t="s">
        <v>73</v>
      </c>
      <c r="AE864" s="87"/>
      <c r="AF864" s="87"/>
      <c r="AG864" s="87"/>
      <c r="AH864" s="87"/>
      <c r="AI864" s="87"/>
      <c r="AJ864" s="87"/>
      <c r="AK864" s="87"/>
      <c r="AL864" s="87"/>
      <c r="AM864" s="87"/>
      <c r="AN864" s="90" t="s">
        <v>72</v>
      </c>
      <c r="AO864" s="90" t="s">
        <v>4009</v>
      </c>
      <c r="AP864" s="82"/>
      <c r="AQ864" s="87" t="s">
        <v>59</v>
      </c>
      <c r="AR864" s="87" t="s">
        <v>80</v>
      </c>
      <c r="AS864" s="82"/>
      <c r="AT864" s="87">
        <v>20</v>
      </c>
      <c r="AU864" s="87">
        <v>4</v>
      </c>
      <c r="AV864" s="87">
        <f t="shared" si="162"/>
        <v>24</v>
      </c>
      <c r="AW864" s="87" t="str">
        <f>_xlfn.TEXTJOIN(", ",TRUE,$AX864:$AZ864)</f>
        <v>Ninguna</v>
      </c>
      <c r="AX864" s="87" t="s">
        <v>75</v>
      </c>
      <c r="AY864" s="87"/>
      <c r="AZ864" s="87"/>
      <c r="BA864" s="108" t="s">
        <v>4010</v>
      </c>
      <c r="BB864" s="84"/>
      <c r="BC864" s="85"/>
      <c r="BD864" s="85"/>
    </row>
    <row r="865" spans="1:56" s="86" customFormat="1" ht="57" customHeight="1">
      <c r="A865" s="87">
        <v>860</v>
      </c>
      <c r="B865" s="79" t="s">
        <v>4011</v>
      </c>
      <c r="C865" s="88">
        <v>45533</v>
      </c>
      <c r="D865" s="89">
        <v>0.5</v>
      </c>
      <c r="E865" s="87" t="s">
        <v>58</v>
      </c>
      <c r="F865" s="87" t="s">
        <v>2207</v>
      </c>
      <c r="G865" s="87" t="s">
        <v>62</v>
      </c>
      <c r="H865" s="90" t="s">
        <v>4012</v>
      </c>
      <c r="I865" s="90" t="s">
        <v>118</v>
      </c>
      <c r="J865" s="87" t="s">
        <v>173</v>
      </c>
      <c r="K865" s="87"/>
      <c r="L865" s="90" t="s">
        <v>72</v>
      </c>
      <c r="M865" s="91" t="s">
        <v>72</v>
      </c>
      <c r="N865" s="90" t="s">
        <v>72</v>
      </c>
      <c r="O865" s="90" t="str">
        <f t="shared" si="159"/>
        <v>Distrital</v>
      </c>
      <c r="P865" s="87" t="s">
        <v>73</v>
      </c>
      <c r="Q865" s="87"/>
      <c r="R865" s="87"/>
      <c r="S865" s="87"/>
      <c r="T865" s="87"/>
      <c r="U865" s="87"/>
      <c r="V865" s="90" t="str">
        <f t="shared" si="160"/>
        <v>Distrital</v>
      </c>
      <c r="W865" s="87" t="s">
        <v>73</v>
      </c>
      <c r="X865" s="87"/>
      <c r="Y865" s="87"/>
      <c r="Z865" s="87"/>
      <c r="AA865" s="87"/>
      <c r="AB865" s="87"/>
      <c r="AC865" s="90" t="str">
        <f t="shared" si="161"/>
        <v>Distrital</v>
      </c>
      <c r="AD865" s="87" t="s">
        <v>73</v>
      </c>
      <c r="AE865" s="87"/>
      <c r="AF865" s="87"/>
      <c r="AG865" s="87"/>
      <c r="AH865" s="87"/>
      <c r="AI865" s="87"/>
      <c r="AJ865" s="87"/>
      <c r="AK865" s="87"/>
      <c r="AL865" s="87"/>
      <c r="AM865" s="87"/>
      <c r="AN865" s="90" t="s">
        <v>80</v>
      </c>
      <c r="AO865" s="63" t="s">
        <v>3712</v>
      </c>
      <c r="AP865" s="82"/>
      <c r="AQ865" s="87" t="s">
        <v>59</v>
      </c>
      <c r="AR865" s="87" t="s">
        <v>80</v>
      </c>
      <c r="AS865" s="82"/>
      <c r="AT865" s="87">
        <v>0</v>
      </c>
      <c r="AU865" s="87">
        <v>9</v>
      </c>
      <c r="AV865" s="87">
        <f t="shared" si="162"/>
        <v>9</v>
      </c>
      <c r="AW865" s="87" t="str">
        <f t="shared" ref="AW865" si="163">_xlfn.TEXTJOIN(", ",TRUE,$AX865:$AZ865)</f>
        <v>Ninguna</v>
      </c>
      <c r="AX865" s="87" t="s">
        <v>75</v>
      </c>
      <c r="AY865" s="87"/>
      <c r="AZ865" s="114"/>
      <c r="BA865" s="119" t="s">
        <v>4013</v>
      </c>
      <c r="BB865" s="84"/>
      <c r="BC865" s="85"/>
      <c r="BD865" s="85"/>
    </row>
    <row r="866" spans="1:56" s="86" customFormat="1" ht="57" customHeight="1">
      <c r="A866" s="78">
        <v>861</v>
      </c>
      <c r="B866" s="79" t="s">
        <v>4014</v>
      </c>
      <c r="C866" s="88">
        <v>45533</v>
      </c>
      <c r="D866" s="89">
        <v>0.6875</v>
      </c>
      <c r="E866" s="87" t="s">
        <v>58</v>
      </c>
      <c r="F866" s="87" t="s">
        <v>2227</v>
      </c>
      <c r="G866" s="87" t="s">
        <v>95</v>
      </c>
      <c r="H866" s="90" t="s">
        <v>4015</v>
      </c>
      <c r="I866" s="90" t="s">
        <v>188</v>
      </c>
      <c r="J866" s="87" t="s">
        <v>173</v>
      </c>
      <c r="K866" s="87"/>
      <c r="L866" s="90" t="s">
        <v>4016</v>
      </c>
      <c r="M866" s="91" t="s">
        <v>2786</v>
      </c>
      <c r="N866" s="90" t="s">
        <v>2257</v>
      </c>
      <c r="O866" s="90" t="str">
        <f t="shared" si="159"/>
        <v>Barrios Unidos</v>
      </c>
      <c r="P866" s="87" t="s">
        <v>686</v>
      </c>
      <c r="Q866" s="87"/>
      <c r="R866" s="87"/>
      <c r="S866" s="87"/>
      <c r="T866" s="87"/>
      <c r="U866" s="87"/>
      <c r="V866" s="90" t="str">
        <f t="shared" si="160"/>
        <v>Centro Ampliado</v>
      </c>
      <c r="W866" s="87" t="s">
        <v>415</v>
      </c>
      <c r="X866" s="87"/>
      <c r="Y866" s="87"/>
      <c r="Z866" s="87"/>
      <c r="AA866" s="87"/>
      <c r="AB866" s="87"/>
      <c r="AC866" s="90" t="str">
        <f t="shared" si="161"/>
        <v>Barrios Unidos</v>
      </c>
      <c r="AD866" s="87" t="s">
        <v>686</v>
      </c>
      <c r="AE866" s="87"/>
      <c r="AF866" s="87"/>
      <c r="AG866" s="87"/>
      <c r="AH866" s="87"/>
      <c r="AI866" s="87"/>
      <c r="AJ866" s="87"/>
      <c r="AK866" s="87"/>
      <c r="AL866" s="87"/>
      <c r="AM866" s="87"/>
      <c r="AN866" s="90" t="s">
        <v>3898</v>
      </c>
      <c r="AO866" s="123" t="s">
        <v>2638</v>
      </c>
      <c r="AP866" s="82"/>
      <c r="AQ866" s="87" t="s">
        <v>59</v>
      </c>
      <c r="AR866" s="87" t="s">
        <v>80</v>
      </c>
      <c r="AS866" s="82"/>
      <c r="AT866" s="87">
        <v>20</v>
      </c>
      <c r="AU866" s="87">
        <v>10</v>
      </c>
      <c r="AV866" s="87">
        <f t="shared" si="162"/>
        <v>30</v>
      </c>
      <c r="AW866" s="87" t="str">
        <f t="shared" ref="AW866" si="164">_xlfn.TEXTJOIN(", ",TRUE,$AX866:$AZ866)</f>
        <v>Accesibilidad Universal, Horarios Acordes, Contenidos adaptados</v>
      </c>
      <c r="AX866" s="87" t="s">
        <v>246</v>
      </c>
      <c r="AY866" s="87" t="s">
        <v>213</v>
      </c>
      <c r="AZ866" s="87" t="s">
        <v>212</v>
      </c>
      <c r="BA866" s="91" t="s">
        <v>4017</v>
      </c>
      <c r="BB866" s="84"/>
      <c r="BC866" s="85"/>
      <c r="BD866" s="85"/>
    </row>
    <row r="867" spans="1:56" s="86" customFormat="1" ht="57" customHeight="1">
      <c r="A867" s="87">
        <v>862</v>
      </c>
      <c r="B867" s="79" t="s">
        <v>1827</v>
      </c>
      <c r="C867" s="88">
        <v>45533</v>
      </c>
      <c r="D867" s="89">
        <v>0.70833333333333337</v>
      </c>
      <c r="E867" s="87" t="s">
        <v>93</v>
      </c>
      <c r="F867" s="87" t="s">
        <v>102</v>
      </c>
      <c r="G867" s="87" t="s">
        <v>95</v>
      </c>
      <c r="H867" s="90" t="s">
        <v>4018</v>
      </c>
      <c r="I867" s="90" t="s">
        <v>118</v>
      </c>
      <c r="J867" s="87" t="s">
        <v>119</v>
      </c>
      <c r="K867" s="87" t="s">
        <v>129</v>
      </c>
      <c r="L867" s="90" t="s">
        <v>3011</v>
      </c>
      <c r="M867" s="91" t="s">
        <v>4019</v>
      </c>
      <c r="N867" s="90" t="s">
        <v>439</v>
      </c>
      <c r="O867" s="90" t="str">
        <f t="shared" si="159"/>
        <v>Distrital</v>
      </c>
      <c r="P867" s="87" t="s">
        <v>73</v>
      </c>
      <c r="Q867" s="87"/>
      <c r="R867" s="87"/>
      <c r="S867" s="87"/>
      <c r="T867" s="87"/>
      <c r="U867" s="87"/>
      <c r="V867" s="90" t="str">
        <f t="shared" si="160"/>
        <v>Distrital</v>
      </c>
      <c r="W867" s="87" t="s">
        <v>73</v>
      </c>
      <c r="X867" s="87"/>
      <c r="Y867" s="87"/>
      <c r="Z867" s="87"/>
      <c r="AA867" s="87"/>
      <c r="AB867" s="87"/>
      <c r="AC867" s="90" t="str">
        <f t="shared" si="161"/>
        <v>Distrital</v>
      </c>
      <c r="AD867" s="87" t="s">
        <v>73</v>
      </c>
      <c r="AE867" s="87"/>
      <c r="AF867" s="87"/>
      <c r="AG867" s="87"/>
      <c r="AH867" s="87"/>
      <c r="AI867" s="87"/>
      <c r="AJ867" s="87"/>
      <c r="AK867" s="87"/>
      <c r="AL867" s="87"/>
      <c r="AM867" s="87"/>
      <c r="AN867" s="90" t="s">
        <v>80</v>
      </c>
      <c r="AO867" s="65" t="s">
        <v>2667</v>
      </c>
      <c r="AP867" s="82"/>
      <c r="AQ867" s="87" t="s">
        <v>59</v>
      </c>
      <c r="AR867" s="87" t="s">
        <v>80</v>
      </c>
      <c r="AS867" s="82"/>
      <c r="AT867" s="87">
        <v>64</v>
      </c>
      <c r="AU867" s="87">
        <v>4</v>
      </c>
      <c r="AV867" s="87">
        <f t="shared" si="162"/>
        <v>68</v>
      </c>
      <c r="AW867" s="87" t="s">
        <v>184</v>
      </c>
      <c r="AX867" s="87"/>
      <c r="AY867" s="87"/>
      <c r="AZ867" s="114"/>
      <c r="BA867" s="119" t="s">
        <v>4020</v>
      </c>
      <c r="BB867" s="84"/>
      <c r="BC867" s="85"/>
      <c r="BD867" s="85"/>
    </row>
    <row r="868" spans="1:56" s="86" customFormat="1" ht="57" customHeight="1">
      <c r="A868" s="78">
        <v>863</v>
      </c>
      <c r="B868" s="79" t="s">
        <v>4021</v>
      </c>
      <c r="C868" s="88">
        <v>45534</v>
      </c>
      <c r="D868" s="89">
        <v>0.33333333333333331</v>
      </c>
      <c r="E868" s="87" t="s">
        <v>58</v>
      </c>
      <c r="F868" s="87" t="s">
        <v>1437</v>
      </c>
      <c r="G868" s="87" t="s">
        <v>62</v>
      </c>
      <c r="H868" s="90" t="s">
        <v>4022</v>
      </c>
      <c r="I868" s="90" t="s">
        <v>118</v>
      </c>
      <c r="J868" s="87" t="s">
        <v>816</v>
      </c>
      <c r="K868" s="87"/>
      <c r="L868" s="90" t="s">
        <v>80</v>
      </c>
      <c r="M868" s="91" t="s">
        <v>80</v>
      </c>
      <c r="N868" s="90" t="s">
        <v>80</v>
      </c>
      <c r="O868" s="90" t="str">
        <f t="shared" si="159"/>
        <v>Santa Fe</v>
      </c>
      <c r="P868" s="87" t="s">
        <v>541</v>
      </c>
      <c r="Q868" s="87"/>
      <c r="R868" s="87"/>
      <c r="S868" s="87"/>
      <c r="T868" s="87"/>
      <c r="U868" s="87"/>
      <c r="V868" s="90" t="str">
        <f t="shared" si="160"/>
        <v>Centro Ampliado</v>
      </c>
      <c r="W868" s="87" t="s">
        <v>415</v>
      </c>
      <c r="X868" s="87"/>
      <c r="Y868" s="87"/>
      <c r="Z868" s="87"/>
      <c r="AA868" s="87"/>
      <c r="AB868" s="87"/>
      <c r="AC868" s="90" t="str">
        <f t="shared" si="161"/>
        <v>Centro Histórico</v>
      </c>
      <c r="AD868" s="87" t="s">
        <v>488</v>
      </c>
      <c r="AE868" s="87"/>
      <c r="AF868" s="87"/>
      <c r="AG868" s="87"/>
      <c r="AH868" s="87"/>
      <c r="AI868" s="87"/>
      <c r="AJ868" s="87"/>
      <c r="AK868" s="87"/>
      <c r="AL868" s="87"/>
      <c r="AM868" s="87"/>
      <c r="AN868" s="90" t="s">
        <v>80</v>
      </c>
      <c r="AO868" s="64" t="s">
        <v>4024</v>
      </c>
      <c r="AP868" s="82"/>
      <c r="AQ868" s="87" t="s">
        <v>59</v>
      </c>
      <c r="AR868" s="87" t="s">
        <v>80</v>
      </c>
      <c r="AS868" s="82"/>
      <c r="AT868" s="87">
        <v>0</v>
      </c>
      <c r="AU868" s="87">
        <v>10</v>
      </c>
      <c r="AV868" s="87">
        <f t="shared" si="162"/>
        <v>10</v>
      </c>
      <c r="AW868" s="87" t="s">
        <v>184</v>
      </c>
      <c r="AX868" s="87"/>
      <c r="AY868" s="87"/>
      <c r="AZ868" s="114"/>
      <c r="BA868" s="119" t="s">
        <v>4022</v>
      </c>
      <c r="BB868" s="84"/>
      <c r="BC868" s="85"/>
      <c r="BD868" s="85"/>
    </row>
    <row r="869" spans="1:56" s="86" customFormat="1" ht="57" customHeight="1">
      <c r="A869" s="87">
        <v>864</v>
      </c>
      <c r="B869" s="79" t="s">
        <v>4025</v>
      </c>
      <c r="C869" s="88">
        <v>45534</v>
      </c>
      <c r="D869" s="89">
        <v>0.41666666666666669</v>
      </c>
      <c r="E869" s="87" t="s">
        <v>58</v>
      </c>
      <c r="F869" s="87" t="s">
        <v>149</v>
      </c>
      <c r="G869" s="87" t="s">
        <v>62</v>
      </c>
      <c r="H869" s="90" t="s">
        <v>4026</v>
      </c>
      <c r="I869" s="90" t="s">
        <v>64</v>
      </c>
      <c r="J869" s="87" t="s">
        <v>173</v>
      </c>
      <c r="K869" s="87"/>
      <c r="L869" s="90" t="s">
        <v>72</v>
      </c>
      <c r="M869" s="90" t="s">
        <v>72</v>
      </c>
      <c r="N869" s="90" t="s">
        <v>72</v>
      </c>
      <c r="O869" s="90" t="str">
        <f t="shared" si="159"/>
        <v>Distrital</v>
      </c>
      <c r="P869" s="87" t="s">
        <v>73</v>
      </c>
      <c r="Q869" s="87"/>
      <c r="R869" s="87"/>
      <c r="S869" s="87"/>
      <c r="T869" s="87"/>
      <c r="U869" s="87"/>
      <c r="V869" s="90" t="str">
        <f t="shared" si="160"/>
        <v>Distrital</v>
      </c>
      <c r="W869" s="87" t="s">
        <v>73</v>
      </c>
      <c r="X869" s="87"/>
      <c r="Y869" s="87"/>
      <c r="Z869" s="87"/>
      <c r="AA869" s="87"/>
      <c r="AB869" s="87"/>
      <c r="AC869" s="90" t="str">
        <f t="shared" si="161"/>
        <v>Distrital</v>
      </c>
      <c r="AD869" s="87" t="s">
        <v>73</v>
      </c>
      <c r="AE869" s="87"/>
      <c r="AF869" s="87"/>
      <c r="AG869" s="87"/>
      <c r="AH869" s="87"/>
      <c r="AI869" s="87"/>
      <c r="AJ869" s="87"/>
      <c r="AK869" s="87"/>
      <c r="AL869" s="87"/>
      <c r="AM869" s="87"/>
      <c r="AN869" s="90" t="s">
        <v>80</v>
      </c>
      <c r="AO869" s="64" t="s">
        <v>4027</v>
      </c>
      <c r="AP869" s="82"/>
      <c r="AQ869" s="87" t="s">
        <v>59</v>
      </c>
      <c r="AR869" s="87" t="s">
        <v>80</v>
      </c>
      <c r="AS869" s="82"/>
      <c r="AT869" s="87">
        <v>0</v>
      </c>
      <c r="AU869" s="87">
        <v>4</v>
      </c>
      <c r="AV869" s="87">
        <f t="shared" si="162"/>
        <v>4</v>
      </c>
      <c r="AW869" s="87" t="s">
        <v>184</v>
      </c>
      <c r="AX869" s="87"/>
      <c r="AY869" s="87"/>
      <c r="AZ869" s="114"/>
      <c r="BA869" s="119" t="s">
        <v>4028</v>
      </c>
      <c r="BB869" s="84"/>
      <c r="BC869" s="85"/>
      <c r="BD869" s="85"/>
    </row>
    <row r="870" spans="1:56" s="86" customFormat="1" ht="57" customHeight="1">
      <c r="A870" s="78">
        <v>865</v>
      </c>
      <c r="B870" s="79" t="s">
        <v>4029</v>
      </c>
      <c r="C870" s="88">
        <v>45534</v>
      </c>
      <c r="D870" s="89">
        <v>0.58333333333333337</v>
      </c>
      <c r="E870" s="87" t="s">
        <v>58</v>
      </c>
      <c r="F870" s="87" t="s">
        <v>1437</v>
      </c>
      <c r="G870" s="87" t="s">
        <v>62</v>
      </c>
      <c r="H870" s="90" t="s">
        <v>4030</v>
      </c>
      <c r="I870" s="90" t="s">
        <v>118</v>
      </c>
      <c r="J870" s="87" t="s">
        <v>816</v>
      </c>
      <c r="K870" s="87"/>
      <c r="L870" s="90" t="s">
        <v>80</v>
      </c>
      <c r="M870" s="91" t="s">
        <v>80</v>
      </c>
      <c r="N870" s="90" t="s">
        <v>80</v>
      </c>
      <c r="O870" s="90" t="str">
        <f t="shared" si="159"/>
        <v>Teusaquillo</v>
      </c>
      <c r="P870" s="87" t="s">
        <v>665</v>
      </c>
      <c r="Q870" s="87"/>
      <c r="R870" s="87"/>
      <c r="S870" s="87"/>
      <c r="T870" s="87"/>
      <c r="U870" s="87"/>
      <c r="V870" s="90" t="str">
        <f t="shared" si="160"/>
        <v>Centro Ampliado</v>
      </c>
      <c r="W870" s="87" t="s">
        <v>415</v>
      </c>
      <c r="X870" s="87"/>
      <c r="Y870" s="87"/>
      <c r="Z870" s="87"/>
      <c r="AA870" s="87"/>
      <c r="AB870" s="87"/>
      <c r="AC870" s="90" t="str">
        <f t="shared" si="161"/>
        <v>Teusaquillo</v>
      </c>
      <c r="AD870" s="87" t="s">
        <v>665</v>
      </c>
      <c r="AE870" s="87"/>
      <c r="AF870" s="87"/>
      <c r="AG870" s="87"/>
      <c r="AH870" s="87"/>
      <c r="AI870" s="87"/>
      <c r="AJ870" s="87"/>
      <c r="AK870" s="87"/>
      <c r="AL870" s="87"/>
      <c r="AM870" s="87"/>
      <c r="AN870" s="90" t="s">
        <v>80</v>
      </c>
      <c r="AO870" s="124" t="s">
        <v>4033</v>
      </c>
      <c r="AP870" s="82"/>
      <c r="AQ870" s="87" t="s">
        <v>59</v>
      </c>
      <c r="AR870" s="87" t="s">
        <v>80</v>
      </c>
      <c r="AS870" s="82"/>
      <c r="AT870" s="87">
        <v>0</v>
      </c>
      <c r="AU870" s="87">
        <v>10</v>
      </c>
      <c r="AV870" s="87">
        <f t="shared" si="162"/>
        <v>10</v>
      </c>
      <c r="AW870" s="87" t="str">
        <f t="shared" ref="AW870:AW883" si="165">_xlfn.TEXTJOIN(", ",TRUE,$AX870:$AZ870)</f>
        <v>Ninguna</v>
      </c>
      <c r="AX870" s="87" t="s">
        <v>75</v>
      </c>
      <c r="AY870" s="87"/>
      <c r="AZ870" s="114"/>
      <c r="BA870" s="115" t="s">
        <v>4034</v>
      </c>
      <c r="BB870" s="84"/>
      <c r="BC870" s="85"/>
      <c r="BD870" s="85"/>
    </row>
    <row r="871" spans="1:56" s="86" customFormat="1" ht="57" customHeight="1">
      <c r="A871" s="87">
        <v>866</v>
      </c>
      <c r="B871" s="79" t="s">
        <v>1726</v>
      </c>
      <c r="C871" s="88">
        <v>45534</v>
      </c>
      <c r="D871" s="89">
        <v>0.70833333333333337</v>
      </c>
      <c r="E871" s="87" t="s">
        <v>93</v>
      </c>
      <c r="F871" s="87" t="s">
        <v>102</v>
      </c>
      <c r="G871" s="87" t="s">
        <v>95</v>
      </c>
      <c r="H871" s="90" t="s">
        <v>4035</v>
      </c>
      <c r="I871" s="90" t="s">
        <v>118</v>
      </c>
      <c r="J871" s="87" t="s">
        <v>119</v>
      </c>
      <c r="K871" s="87" t="s">
        <v>129</v>
      </c>
      <c r="L871" s="90" t="s">
        <v>4036</v>
      </c>
      <c r="M871" s="91" t="s">
        <v>3950</v>
      </c>
      <c r="N871" s="90" t="s">
        <v>4037</v>
      </c>
      <c r="O871" s="90" t="str">
        <f t="shared" si="159"/>
        <v>Distrital</v>
      </c>
      <c r="P871" s="87" t="s">
        <v>73</v>
      </c>
      <c r="Q871" s="87"/>
      <c r="R871" s="87"/>
      <c r="S871" s="87"/>
      <c r="T871" s="87"/>
      <c r="U871" s="87"/>
      <c r="V871" s="90" t="str">
        <f t="shared" si="160"/>
        <v>Distrital</v>
      </c>
      <c r="W871" s="87" t="s">
        <v>73</v>
      </c>
      <c r="X871" s="87"/>
      <c r="Y871" s="87"/>
      <c r="Z871" s="87"/>
      <c r="AA871" s="87"/>
      <c r="AB871" s="87"/>
      <c r="AC871" s="90" t="str">
        <f t="shared" si="161"/>
        <v>Distrital</v>
      </c>
      <c r="AD871" s="87" t="s">
        <v>73</v>
      </c>
      <c r="AE871" s="87"/>
      <c r="AF871" s="87"/>
      <c r="AG871" s="87"/>
      <c r="AH871" s="87"/>
      <c r="AI871" s="87"/>
      <c r="AJ871" s="87"/>
      <c r="AK871" s="87"/>
      <c r="AL871" s="87"/>
      <c r="AM871" s="87"/>
      <c r="AN871" s="90" t="s">
        <v>80</v>
      </c>
      <c r="AO871" s="125" t="s">
        <v>2667</v>
      </c>
      <c r="AP871" s="82"/>
      <c r="AQ871" s="87" t="s">
        <v>59</v>
      </c>
      <c r="AR871" s="87" t="s">
        <v>80</v>
      </c>
      <c r="AS871" s="82"/>
      <c r="AT871" s="87">
        <v>7</v>
      </c>
      <c r="AU871" s="87">
        <v>1</v>
      </c>
      <c r="AV871" s="87">
        <f t="shared" si="162"/>
        <v>8</v>
      </c>
      <c r="AW871" s="87" t="str">
        <f t="shared" si="165"/>
        <v>Ninguna</v>
      </c>
      <c r="AX871" s="87" t="s">
        <v>75</v>
      </c>
      <c r="AY871" s="87"/>
      <c r="AZ871" s="114"/>
      <c r="BA871" s="115" t="s">
        <v>4038</v>
      </c>
      <c r="BB871" s="84"/>
      <c r="BC871" s="85"/>
      <c r="BD871" s="85"/>
    </row>
    <row r="872" spans="1:56" s="86" customFormat="1" ht="57" customHeight="1">
      <c r="A872" s="78">
        <v>867</v>
      </c>
      <c r="B872" s="79" t="s">
        <v>4039</v>
      </c>
      <c r="C872" s="88">
        <v>45535</v>
      </c>
      <c r="D872" s="89">
        <v>0.33333333333333331</v>
      </c>
      <c r="E872" s="87" t="s">
        <v>58</v>
      </c>
      <c r="F872" s="87" t="s">
        <v>1437</v>
      </c>
      <c r="G872" s="87" t="s">
        <v>62</v>
      </c>
      <c r="H872" s="90" t="s">
        <v>4040</v>
      </c>
      <c r="I872" s="90" t="s">
        <v>118</v>
      </c>
      <c r="J872" s="87" t="s">
        <v>816</v>
      </c>
      <c r="K872" s="87"/>
      <c r="L872" s="90" t="s">
        <v>80</v>
      </c>
      <c r="M872" s="91" t="s">
        <v>80</v>
      </c>
      <c r="N872" s="90" t="s">
        <v>80</v>
      </c>
      <c r="O872" s="90" t="str">
        <f t="shared" si="159"/>
        <v>Chapinero</v>
      </c>
      <c r="P872" s="87" t="s">
        <v>221</v>
      </c>
      <c r="Q872" s="87"/>
      <c r="R872" s="87"/>
      <c r="S872" s="87"/>
      <c r="T872" s="87"/>
      <c r="U872" s="87"/>
      <c r="V872" s="90" t="str">
        <f t="shared" si="160"/>
        <v>Centro Ampliado</v>
      </c>
      <c r="W872" s="87" t="s">
        <v>415</v>
      </c>
      <c r="X872" s="87"/>
      <c r="Y872" s="87"/>
      <c r="Z872" s="87"/>
      <c r="AA872" s="87"/>
      <c r="AB872" s="87"/>
      <c r="AC872" s="90" t="str">
        <f t="shared" si="161"/>
        <v>Chapinero</v>
      </c>
      <c r="AD872" s="87" t="s">
        <v>221</v>
      </c>
      <c r="AE872" s="87"/>
      <c r="AF872" s="87"/>
      <c r="AG872" s="87"/>
      <c r="AH872" s="87"/>
      <c r="AI872" s="87"/>
      <c r="AJ872" s="87"/>
      <c r="AK872" s="87"/>
      <c r="AL872" s="87"/>
      <c r="AM872" s="87"/>
      <c r="AN872" s="90" t="s">
        <v>80</v>
      </c>
      <c r="AO872" s="64" t="s">
        <v>4042</v>
      </c>
      <c r="AP872" s="82"/>
      <c r="AQ872" s="87" t="s">
        <v>59</v>
      </c>
      <c r="AR872" s="87" t="s">
        <v>80</v>
      </c>
      <c r="AS872" s="82"/>
      <c r="AT872" s="87">
        <v>0</v>
      </c>
      <c r="AU872" s="87">
        <v>10</v>
      </c>
      <c r="AV872" s="87">
        <f t="shared" si="162"/>
        <v>10</v>
      </c>
      <c r="AW872" s="87" t="str">
        <f t="shared" si="165"/>
        <v>Ninguna</v>
      </c>
      <c r="AX872" s="87" t="s">
        <v>75</v>
      </c>
      <c r="AY872" s="87"/>
      <c r="AZ872" s="114"/>
      <c r="BA872" s="119" t="s">
        <v>4043</v>
      </c>
      <c r="BB872" s="84"/>
      <c r="BC872" s="85"/>
      <c r="BD872" s="85"/>
    </row>
    <row r="873" spans="1:56" s="86" customFormat="1" ht="57" customHeight="1">
      <c r="A873" s="87">
        <v>868</v>
      </c>
      <c r="B873" s="79" t="s">
        <v>4044</v>
      </c>
      <c r="C873" s="88">
        <v>45535</v>
      </c>
      <c r="D873" s="89">
        <v>0.58333333333333337</v>
      </c>
      <c r="E873" s="87" t="s">
        <v>58</v>
      </c>
      <c r="F873" s="87" t="s">
        <v>1437</v>
      </c>
      <c r="G873" s="87" t="s">
        <v>62</v>
      </c>
      <c r="H873" s="90" t="s">
        <v>4045</v>
      </c>
      <c r="I873" s="90" t="s">
        <v>118</v>
      </c>
      <c r="J873" s="87" t="s">
        <v>816</v>
      </c>
      <c r="K873" s="87"/>
      <c r="L873" s="90" t="s">
        <v>80</v>
      </c>
      <c r="M873" s="91" t="s">
        <v>80</v>
      </c>
      <c r="N873" s="90" t="s">
        <v>80</v>
      </c>
      <c r="O873" s="90" t="str">
        <f t="shared" si="159"/>
        <v>Usaquén</v>
      </c>
      <c r="P873" s="87" t="s">
        <v>428</v>
      </c>
      <c r="Q873" s="87"/>
      <c r="R873" s="87"/>
      <c r="S873" s="87"/>
      <c r="T873" s="87"/>
      <c r="U873" s="87"/>
      <c r="V873" s="90" t="str">
        <f t="shared" si="160"/>
        <v>Norte</v>
      </c>
      <c r="W873" s="87" t="s">
        <v>429</v>
      </c>
      <c r="X873" s="87"/>
      <c r="Y873" s="87"/>
      <c r="Z873" s="87"/>
      <c r="AA873" s="87"/>
      <c r="AB873" s="87"/>
      <c r="AC873" s="90" t="str">
        <f t="shared" si="161"/>
        <v>Usaquén</v>
      </c>
      <c r="AD873" s="87" t="s">
        <v>428</v>
      </c>
      <c r="AE873" s="87"/>
      <c r="AF873" s="87"/>
      <c r="AG873" s="87"/>
      <c r="AH873" s="87"/>
      <c r="AI873" s="87"/>
      <c r="AJ873" s="87"/>
      <c r="AK873" s="87"/>
      <c r="AL873" s="87"/>
      <c r="AM873" s="87"/>
      <c r="AN873" s="90" t="s">
        <v>80</v>
      </c>
      <c r="AO873" s="124" t="s">
        <v>4049</v>
      </c>
      <c r="AP873" s="82"/>
      <c r="AQ873" s="87" t="s">
        <v>59</v>
      </c>
      <c r="AR873" s="87" t="s">
        <v>80</v>
      </c>
      <c r="AS873" s="82"/>
      <c r="AT873" s="87">
        <v>0</v>
      </c>
      <c r="AU873" s="87">
        <v>10</v>
      </c>
      <c r="AV873" s="87">
        <f t="shared" si="162"/>
        <v>10</v>
      </c>
      <c r="AW873" s="87" t="str">
        <f t="shared" si="165"/>
        <v>Ninguna</v>
      </c>
      <c r="AX873" s="87" t="s">
        <v>75</v>
      </c>
      <c r="AY873" s="87"/>
      <c r="AZ873" s="114"/>
      <c r="BA873" s="115" t="s">
        <v>2433</v>
      </c>
      <c r="BB873" s="84"/>
      <c r="BC873" s="85"/>
      <c r="BD873" s="85"/>
    </row>
    <row r="874" spans="1:56" s="86" customFormat="1" ht="57" customHeight="1">
      <c r="A874" s="78">
        <v>869</v>
      </c>
      <c r="B874" s="79" t="s">
        <v>4050</v>
      </c>
      <c r="C874" s="88">
        <v>45535</v>
      </c>
      <c r="D874" s="89">
        <v>0.58333333333333337</v>
      </c>
      <c r="E874" s="87" t="s">
        <v>93</v>
      </c>
      <c r="F874" s="87" t="s">
        <v>102</v>
      </c>
      <c r="G874" s="87" t="s">
        <v>62</v>
      </c>
      <c r="H874" s="90" t="s">
        <v>4051</v>
      </c>
      <c r="I874" s="90" t="s">
        <v>118</v>
      </c>
      <c r="J874" s="87" t="s">
        <v>119</v>
      </c>
      <c r="K874" s="87" t="s">
        <v>129</v>
      </c>
      <c r="L874" s="90" t="s">
        <v>4053</v>
      </c>
      <c r="M874" s="91" t="s">
        <v>4054</v>
      </c>
      <c r="N874" s="90" t="s">
        <v>1033</v>
      </c>
      <c r="O874" s="90" t="str">
        <f t="shared" si="159"/>
        <v>Distrital</v>
      </c>
      <c r="P874" s="87" t="s">
        <v>73</v>
      </c>
      <c r="Q874" s="87"/>
      <c r="R874" s="87"/>
      <c r="S874" s="87"/>
      <c r="T874" s="87"/>
      <c r="U874" s="87"/>
      <c r="V874" s="90" t="str">
        <f t="shared" si="160"/>
        <v>Distrital</v>
      </c>
      <c r="W874" s="87" t="s">
        <v>73</v>
      </c>
      <c r="X874" s="87"/>
      <c r="Y874" s="87"/>
      <c r="Z874" s="87"/>
      <c r="AA874" s="87"/>
      <c r="AB874" s="87"/>
      <c r="AC874" s="90" t="str">
        <f t="shared" si="161"/>
        <v>Distrital</v>
      </c>
      <c r="AD874" s="87" t="s">
        <v>73</v>
      </c>
      <c r="AE874" s="87"/>
      <c r="AF874" s="87"/>
      <c r="AG874" s="87"/>
      <c r="AH874" s="87"/>
      <c r="AI874" s="87"/>
      <c r="AJ874" s="87"/>
      <c r="AK874" s="87"/>
      <c r="AL874" s="87"/>
      <c r="AM874" s="87"/>
      <c r="AN874" s="90" t="s">
        <v>80</v>
      </c>
      <c r="AO874" s="124" t="s">
        <v>4055</v>
      </c>
      <c r="AP874" s="82"/>
      <c r="AQ874" s="87" t="s">
        <v>59</v>
      </c>
      <c r="AR874" s="87" t="s">
        <v>80</v>
      </c>
      <c r="AS874" s="82"/>
      <c r="AT874" s="87">
        <v>32</v>
      </c>
      <c r="AU874" s="87">
        <v>6</v>
      </c>
      <c r="AV874" s="87">
        <f t="shared" si="162"/>
        <v>38</v>
      </c>
      <c r="AW874" s="87" t="str">
        <f t="shared" si="165"/>
        <v>Ninguna</v>
      </c>
      <c r="AX874" s="87" t="s">
        <v>75</v>
      </c>
      <c r="AY874" s="87"/>
      <c r="AZ874" s="114"/>
      <c r="BA874" s="115" t="s">
        <v>4056</v>
      </c>
      <c r="BB874" s="84"/>
      <c r="BC874" s="85"/>
      <c r="BD874" s="85"/>
    </row>
    <row r="875" spans="1:56" s="86" customFormat="1" ht="57" customHeight="1">
      <c r="A875" s="87">
        <v>870</v>
      </c>
      <c r="B875" s="79" t="s">
        <v>4057</v>
      </c>
      <c r="C875" s="88">
        <v>45536</v>
      </c>
      <c r="D875" s="89">
        <v>0.33333333333333331</v>
      </c>
      <c r="E875" s="87" t="s">
        <v>58</v>
      </c>
      <c r="F875" s="87" t="s">
        <v>1437</v>
      </c>
      <c r="G875" s="87" t="s">
        <v>62</v>
      </c>
      <c r="H875" s="90" t="s">
        <v>4058</v>
      </c>
      <c r="I875" s="90" t="s">
        <v>118</v>
      </c>
      <c r="J875" s="87" t="s">
        <v>816</v>
      </c>
      <c r="K875" s="87"/>
      <c r="L875" s="90" t="s">
        <v>80</v>
      </c>
      <c r="M875" s="91" t="s">
        <v>80</v>
      </c>
      <c r="N875" s="90" t="s">
        <v>80</v>
      </c>
      <c r="O875" s="90" t="str">
        <f t="shared" si="159"/>
        <v>Usaquén</v>
      </c>
      <c r="P875" s="87" t="s">
        <v>428</v>
      </c>
      <c r="Q875" s="87"/>
      <c r="R875" s="87"/>
      <c r="S875" s="87"/>
      <c r="T875" s="87"/>
      <c r="U875" s="87"/>
      <c r="V875" s="90" t="str">
        <f t="shared" si="160"/>
        <v>Norte</v>
      </c>
      <c r="W875" s="87" t="s">
        <v>429</v>
      </c>
      <c r="X875" s="87"/>
      <c r="Y875" s="87"/>
      <c r="Z875" s="87"/>
      <c r="AA875" s="87"/>
      <c r="AB875" s="87"/>
      <c r="AC875" s="90" t="str">
        <f t="shared" si="161"/>
        <v>Usaquén</v>
      </c>
      <c r="AD875" s="87" t="s">
        <v>428</v>
      </c>
      <c r="AE875" s="87"/>
      <c r="AF875" s="87"/>
      <c r="AG875" s="87"/>
      <c r="AH875" s="87"/>
      <c r="AI875" s="87"/>
      <c r="AJ875" s="87"/>
      <c r="AK875" s="87"/>
      <c r="AL875" s="87"/>
      <c r="AM875" s="87"/>
      <c r="AN875" s="90" t="s">
        <v>80</v>
      </c>
      <c r="AO875" s="64" t="s">
        <v>4059</v>
      </c>
      <c r="AP875" s="82"/>
      <c r="AQ875" s="87" t="s">
        <v>59</v>
      </c>
      <c r="AR875" s="87" t="s">
        <v>80</v>
      </c>
      <c r="AS875" s="82"/>
      <c r="AT875" s="87">
        <v>0</v>
      </c>
      <c r="AU875" s="87">
        <v>10</v>
      </c>
      <c r="AV875" s="87">
        <f t="shared" si="162"/>
        <v>10</v>
      </c>
      <c r="AW875" s="87" t="str">
        <f t="shared" si="165"/>
        <v>Ninguna</v>
      </c>
      <c r="AX875" s="87" t="s">
        <v>75</v>
      </c>
      <c r="AY875" s="87"/>
      <c r="AZ875" s="114"/>
      <c r="BA875" s="119" t="s">
        <v>2433</v>
      </c>
      <c r="BB875" s="84"/>
      <c r="BC875" s="85"/>
      <c r="BD875" s="85"/>
    </row>
    <row r="876" spans="1:56" s="86" customFormat="1" ht="57" customHeight="1">
      <c r="A876" s="78">
        <v>871</v>
      </c>
      <c r="B876" s="79" t="s">
        <v>4060</v>
      </c>
      <c r="C876" s="88">
        <v>45536</v>
      </c>
      <c r="D876" s="89">
        <v>0.58333333333333337</v>
      </c>
      <c r="E876" s="87" t="s">
        <v>58</v>
      </c>
      <c r="F876" s="87" t="s">
        <v>1437</v>
      </c>
      <c r="G876" s="87" t="s">
        <v>62</v>
      </c>
      <c r="H876" s="90" t="s">
        <v>4061</v>
      </c>
      <c r="I876" s="90" t="s">
        <v>118</v>
      </c>
      <c r="J876" s="87" t="s">
        <v>816</v>
      </c>
      <c r="K876" s="87"/>
      <c r="L876" s="90" t="s">
        <v>80</v>
      </c>
      <c r="M876" s="91" t="s">
        <v>80</v>
      </c>
      <c r="N876" s="90" t="s">
        <v>80</v>
      </c>
      <c r="O876" s="90" t="str">
        <f t="shared" si="159"/>
        <v>Suba</v>
      </c>
      <c r="P876" s="87" t="s">
        <v>394</v>
      </c>
      <c r="Q876" s="87"/>
      <c r="R876" s="87"/>
      <c r="S876" s="87"/>
      <c r="T876" s="87"/>
      <c r="U876" s="87"/>
      <c r="V876" s="90" t="str">
        <f t="shared" si="160"/>
        <v>Noroccidente</v>
      </c>
      <c r="W876" s="87" t="s">
        <v>395</v>
      </c>
      <c r="X876" s="87"/>
      <c r="Y876" s="87"/>
      <c r="Z876" s="87"/>
      <c r="AA876" s="87"/>
      <c r="AB876" s="87"/>
      <c r="AC876" s="90" t="str">
        <f t="shared" si="161"/>
        <v>Suba</v>
      </c>
      <c r="AD876" s="87" t="s">
        <v>394</v>
      </c>
      <c r="AE876" s="87"/>
      <c r="AF876" s="87"/>
      <c r="AG876" s="87"/>
      <c r="AH876" s="87"/>
      <c r="AI876" s="87"/>
      <c r="AJ876" s="87"/>
      <c r="AK876" s="87"/>
      <c r="AL876" s="87"/>
      <c r="AM876" s="87"/>
      <c r="AN876" s="90" t="s">
        <v>80</v>
      </c>
      <c r="AO876" s="64" t="s">
        <v>4062</v>
      </c>
      <c r="AP876" s="82"/>
      <c r="AQ876" s="87" t="s">
        <v>59</v>
      </c>
      <c r="AR876" s="87" t="s">
        <v>80</v>
      </c>
      <c r="AS876" s="82"/>
      <c r="AT876" s="87">
        <v>0</v>
      </c>
      <c r="AU876" s="87">
        <v>9</v>
      </c>
      <c r="AV876" s="87">
        <f t="shared" si="162"/>
        <v>9</v>
      </c>
      <c r="AW876" s="87" t="str">
        <f t="shared" si="165"/>
        <v>Ninguna</v>
      </c>
      <c r="AX876" s="87" t="s">
        <v>75</v>
      </c>
      <c r="AY876" s="87"/>
      <c r="AZ876" s="114"/>
      <c r="BA876" s="119" t="s">
        <v>2433</v>
      </c>
      <c r="BB876" s="84"/>
      <c r="BC876" s="85"/>
      <c r="BD876" s="85"/>
    </row>
    <row r="877" spans="1:56" s="86" customFormat="1" ht="51.75" customHeight="1">
      <c r="A877" s="87">
        <v>872</v>
      </c>
      <c r="B877" s="79" t="s">
        <v>4063</v>
      </c>
      <c r="C877" s="88">
        <v>45537</v>
      </c>
      <c r="D877" s="89">
        <v>0.33333333333333331</v>
      </c>
      <c r="E877" s="87" t="s">
        <v>58</v>
      </c>
      <c r="F877" s="87" t="s">
        <v>1437</v>
      </c>
      <c r="G877" s="87" t="s">
        <v>62</v>
      </c>
      <c r="H877" s="90" t="s">
        <v>4064</v>
      </c>
      <c r="I877" s="90" t="s">
        <v>118</v>
      </c>
      <c r="J877" s="87" t="s">
        <v>816</v>
      </c>
      <c r="K877" s="87"/>
      <c r="L877" s="90" t="s">
        <v>80</v>
      </c>
      <c r="M877" s="91" t="s">
        <v>80</v>
      </c>
      <c r="N877" s="90" t="s">
        <v>80</v>
      </c>
      <c r="O877" s="90" t="str">
        <f t="shared" si="159"/>
        <v>Suba</v>
      </c>
      <c r="P877" s="87" t="s">
        <v>394</v>
      </c>
      <c r="Q877" s="87"/>
      <c r="R877" s="87"/>
      <c r="S877" s="87"/>
      <c r="T877" s="87"/>
      <c r="U877" s="87"/>
      <c r="V877" s="90" t="str">
        <f t="shared" si="160"/>
        <v>Noroccidente</v>
      </c>
      <c r="W877" s="87" t="s">
        <v>395</v>
      </c>
      <c r="X877" s="87"/>
      <c r="Y877" s="87"/>
      <c r="Z877" s="87"/>
      <c r="AA877" s="87"/>
      <c r="AB877" s="87"/>
      <c r="AC877" s="90" t="str">
        <f t="shared" si="161"/>
        <v>Suba</v>
      </c>
      <c r="AD877" s="87" t="s">
        <v>394</v>
      </c>
      <c r="AE877" s="87"/>
      <c r="AF877" s="87"/>
      <c r="AG877" s="87"/>
      <c r="AH877" s="87"/>
      <c r="AI877" s="87"/>
      <c r="AJ877" s="87"/>
      <c r="AK877" s="87"/>
      <c r="AL877" s="87"/>
      <c r="AM877" s="87"/>
      <c r="AN877" s="90" t="s">
        <v>80</v>
      </c>
      <c r="AO877" s="64" t="s">
        <v>4066</v>
      </c>
      <c r="AP877" s="82"/>
      <c r="AQ877" s="87" t="s">
        <v>59</v>
      </c>
      <c r="AR877" s="87" t="s">
        <v>80</v>
      </c>
      <c r="AS877" s="82"/>
      <c r="AT877" s="87">
        <v>0</v>
      </c>
      <c r="AU877" s="87">
        <v>10</v>
      </c>
      <c r="AV877" s="87">
        <f t="shared" si="162"/>
        <v>10</v>
      </c>
      <c r="AW877" s="87" t="str">
        <f t="shared" si="165"/>
        <v>Ninguna</v>
      </c>
      <c r="AX877" s="87" t="s">
        <v>75</v>
      </c>
      <c r="AY877" s="87"/>
      <c r="AZ877" s="114"/>
      <c r="BA877" s="119" t="s">
        <v>2433</v>
      </c>
      <c r="BB877" s="84"/>
      <c r="BC877" s="85"/>
      <c r="BD877" s="85"/>
    </row>
    <row r="878" spans="1:56" s="86" customFormat="1" ht="51.75" customHeight="1">
      <c r="A878" s="78">
        <v>873</v>
      </c>
      <c r="B878" s="79" t="s">
        <v>3710</v>
      </c>
      <c r="C878" s="88">
        <v>45537</v>
      </c>
      <c r="D878" s="89">
        <v>0.45833333333333331</v>
      </c>
      <c r="E878" s="87" t="s">
        <v>58</v>
      </c>
      <c r="F878" s="87" t="s">
        <v>2207</v>
      </c>
      <c r="G878" s="87" t="s">
        <v>62</v>
      </c>
      <c r="H878" s="90" t="s">
        <v>4067</v>
      </c>
      <c r="I878" s="90" t="s">
        <v>118</v>
      </c>
      <c r="J878" s="87" t="s">
        <v>173</v>
      </c>
      <c r="K878" s="87"/>
      <c r="L878" s="90" t="s">
        <v>72</v>
      </c>
      <c r="M878" s="91" t="s">
        <v>72</v>
      </c>
      <c r="N878" s="90" t="s">
        <v>72</v>
      </c>
      <c r="O878" s="90" t="str">
        <f>_xlfn.TEXTJOIN(", ",TRUE,$P878:$T878)</f>
        <v>Distrital</v>
      </c>
      <c r="P878" s="87" t="s">
        <v>73</v>
      </c>
      <c r="Q878" s="87"/>
      <c r="R878" s="87"/>
      <c r="S878" s="87"/>
      <c r="T878" s="87"/>
      <c r="U878" s="87"/>
      <c r="V878" s="90" t="str">
        <f>_xlfn.TEXTJOIN(", ",TRUE,$W878:$AB878)</f>
        <v>Distrital</v>
      </c>
      <c r="W878" s="87" t="s">
        <v>73</v>
      </c>
      <c r="X878" s="87"/>
      <c r="Y878" s="87"/>
      <c r="Z878" s="87"/>
      <c r="AA878" s="87"/>
      <c r="AB878" s="87"/>
      <c r="AC878" s="90" t="str">
        <f>_xlfn.TEXTJOIN(", ",TRUE,$AD878:$AM878)</f>
        <v>Distrital</v>
      </c>
      <c r="AD878" s="87" t="s">
        <v>73</v>
      </c>
      <c r="AE878" s="87"/>
      <c r="AF878" s="87"/>
      <c r="AG878" s="87"/>
      <c r="AH878" s="87"/>
      <c r="AI878" s="87"/>
      <c r="AJ878" s="87"/>
      <c r="AK878" s="87"/>
      <c r="AL878" s="87"/>
      <c r="AM878" s="87"/>
      <c r="AN878" s="90" t="s">
        <v>80</v>
      </c>
      <c r="AO878" s="64" t="s">
        <v>3712</v>
      </c>
      <c r="AP878" s="82"/>
      <c r="AQ878" s="87" t="s">
        <v>59</v>
      </c>
      <c r="AR878" s="87" t="s">
        <v>80</v>
      </c>
      <c r="AS878" s="82"/>
      <c r="AT878" s="87">
        <v>0</v>
      </c>
      <c r="AU878" s="87">
        <v>5</v>
      </c>
      <c r="AV878" s="87">
        <f>AT878+AU878</f>
        <v>5</v>
      </c>
      <c r="AW878" s="87" t="str">
        <f t="shared" si="165"/>
        <v>Ninguna</v>
      </c>
      <c r="AX878" s="87" t="s">
        <v>75</v>
      </c>
      <c r="AY878" s="87"/>
      <c r="AZ878" s="114"/>
      <c r="BA878" s="119" t="s">
        <v>4068</v>
      </c>
      <c r="BB878" s="84"/>
      <c r="BC878" s="85"/>
      <c r="BD878" s="85"/>
    </row>
    <row r="879" spans="1:56" s="86" customFormat="1" ht="57" customHeight="1">
      <c r="A879" s="87">
        <v>874</v>
      </c>
      <c r="B879" s="79" t="s">
        <v>4069</v>
      </c>
      <c r="C879" s="88">
        <v>45537</v>
      </c>
      <c r="D879" s="89">
        <v>0.58333333333333337</v>
      </c>
      <c r="E879" s="87" t="s">
        <v>58</v>
      </c>
      <c r="F879" s="87" t="s">
        <v>135</v>
      </c>
      <c r="G879" s="87" t="s">
        <v>62</v>
      </c>
      <c r="H879" s="90" t="s">
        <v>4070</v>
      </c>
      <c r="I879" s="90" t="s">
        <v>64</v>
      </c>
      <c r="J879" s="87" t="s">
        <v>70</v>
      </c>
      <c r="K879" s="87" t="s">
        <v>71</v>
      </c>
      <c r="L879" s="90" t="s">
        <v>72</v>
      </c>
      <c r="M879" s="90" t="s">
        <v>72</v>
      </c>
      <c r="N879" s="90" t="s">
        <v>72</v>
      </c>
      <c r="O879" s="90" t="str">
        <f t="shared" si="159"/>
        <v>Engativá</v>
      </c>
      <c r="P879" s="87" t="s">
        <v>123</v>
      </c>
      <c r="Q879" s="87"/>
      <c r="R879" s="87"/>
      <c r="S879" s="87"/>
      <c r="T879" s="87"/>
      <c r="U879" s="87"/>
      <c r="V879" s="90" t="str">
        <f t="shared" si="160"/>
        <v>Occidente</v>
      </c>
      <c r="W879" s="87" t="s">
        <v>124</v>
      </c>
      <c r="X879" s="87"/>
      <c r="Y879" s="87"/>
      <c r="Z879" s="87"/>
      <c r="AA879" s="87"/>
      <c r="AB879" s="87"/>
      <c r="AC879" s="90" t="str">
        <f t="shared" si="161"/>
        <v>Engativá</v>
      </c>
      <c r="AD879" s="87" t="s">
        <v>123</v>
      </c>
      <c r="AE879" s="87"/>
      <c r="AF879" s="87"/>
      <c r="AG879" s="87"/>
      <c r="AH879" s="87"/>
      <c r="AI879" s="87"/>
      <c r="AJ879" s="87"/>
      <c r="AK879" s="87"/>
      <c r="AL879" s="87"/>
      <c r="AM879" s="87"/>
      <c r="AN879" s="90" t="s">
        <v>80</v>
      </c>
      <c r="AO879" s="124" t="s">
        <v>4071</v>
      </c>
      <c r="AP879" s="82"/>
      <c r="AQ879" s="87" t="s">
        <v>59</v>
      </c>
      <c r="AR879" s="87" t="s">
        <v>80</v>
      </c>
      <c r="AS879" s="82"/>
      <c r="AT879" s="87">
        <v>1</v>
      </c>
      <c r="AU879" s="87">
        <v>7</v>
      </c>
      <c r="AV879" s="87">
        <f t="shared" si="162"/>
        <v>8</v>
      </c>
      <c r="AW879" s="87" t="str">
        <f t="shared" si="165"/>
        <v>Accesibilidad Universal, Horarios Acordes</v>
      </c>
      <c r="AX879" s="87" t="s">
        <v>246</v>
      </c>
      <c r="AY879" s="87" t="s">
        <v>213</v>
      </c>
      <c r="AZ879" s="114"/>
      <c r="BA879" s="115" t="s">
        <v>4072</v>
      </c>
      <c r="BB879" s="84"/>
      <c r="BC879" s="85"/>
      <c r="BD879" s="85"/>
    </row>
    <row r="880" spans="1:56" s="86" customFormat="1" ht="57" customHeight="1">
      <c r="A880" s="78">
        <v>875</v>
      </c>
      <c r="B880" s="79" t="s">
        <v>4073</v>
      </c>
      <c r="C880" s="88">
        <v>45537</v>
      </c>
      <c r="D880" s="89">
        <v>0.58333333333333337</v>
      </c>
      <c r="E880" s="87" t="s">
        <v>58</v>
      </c>
      <c r="F880" s="87" t="s">
        <v>1437</v>
      </c>
      <c r="G880" s="87" t="s">
        <v>62</v>
      </c>
      <c r="H880" s="90" t="s">
        <v>4074</v>
      </c>
      <c r="I880" s="90" t="s">
        <v>118</v>
      </c>
      <c r="J880" s="87" t="s">
        <v>816</v>
      </c>
      <c r="K880" s="87"/>
      <c r="L880" s="90" t="s">
        <v>80</v>
      </c>
      <c r="M880" s="91" t="s">
        <v>80</v>
      </c>
      <c r="N880" s="90" t="s">
        <v>80</v>
      </c>
      <c r="O880" s="90" t="str">
        <f t="shared" si="159"/>
        <v>Engativá</v>
      </c>
      <c r="P880" s="87" t="s">
        <v>123</v>
      </c>
      <c r="Q880" s="87"/>
      <c r="R880" s="87"/>
      <c r="S880" s="87"/>
      <c r="T880" s="87"/>
      <c r="U880" s="87"/>
      <c r="V880" s="90" t="str">
        <f t="shared" si="160"/>
        <v>Occidente</v>
      </c>
      <c r="W880" s="87" t="s">
        <v>124</v>
      </c>
      <c r="X880" s="87"/>
      <c r="Y880" s="87"/>
      <c r="Z880" s="87"/>
      <c r="AA880" s="87"/>
      <c r="AB880" s="87"/>
      <c r="AC880" s="90" t="str">
        <f t="shared" si="161"/>
        <v>Engativá</v>
      </c>
      <c r="AD880" s="87" t="s">
        <v>123</v>
      </c>
      <c r="AE880" s="87"/>
      <c r="AF880" s="87"/>
      <c r="AG880" s="87"/>
      <c r="AH880" s="87"/>
      <c r="AI880" s="87"/>
      <c r="AJ880" s="87"/>
      <c r="AK880" s="87"/>
      <c r="AL880" s="87"/>
      <c r="AM880" s="87"/>
      <c r="AN880" s="90" t="s">
        <v>80</v>
      </c>
      <c r="AO880" s="64" t="s">
        <v>4075</v>
      </c>
      <c r="AP880" s="82"/>
      <c r="AQ880" s="87" t="s">
        <v>59</v>
      </c>
      <c r="AR880" s="87" t="s">
        <v>80</v>
      </c>
      <c r="AS880" s="82"/>
      <c r="AT880" s="87">
        <v>0</v>
      </c>
      <c r="AU880" s="87">
        <v>10</v>
      </c>
      <c r="AV880" s="87">
        <f t="shared" si="162"/>
        <v>10</v>
      </c>
      <c r="AW880" s="87" t="str">
        <f t="shared" si="165"/>
        <v>Ninguna</v>
      </c>
      <c r="AX880" s="87" t="s">
        <v>75</v>
      </c>
      <c r="AY880" s="87"/>
      <c r="AZ880" s="114"/>
      <c r="BA880" s="119" t="s">
        <v>4076</v>
      </c>
      <c r="BB880" s="84"/>
      <c r="BC880" s="85"/>
      <c r="BD880" s="85"/>
    </row>
    <row r="881" spans="1:56" s="86" customFormat="1" ht="57" customHeight="1">
      <c r="A881" s="87">
        <v>876</v>
      </c>
      <c r="B881" s="79" t="s">
        <v>4077</v>
      </c>
      <c r="C881" s="88">
        <v>45537</v>
      </c>
      <c r="D881" s="89">
        <v>0.60416666666666663</v>
      </c>
      <c r="E881" s="87" t="s">
        <v>58</v>
      </c>
      <c r="F881" s="87" t="s">
        <v>61</v>
      </c>
      <c r="G881" s="87" t="s">
        <v>95</v>
      </c>
      <c r="H881" s="90" t="s">
        <v>4078</v>
      </c>
      <c r="I881" s="90" t="s">
        <v>64</v>
      </c>
      <c r="J881" s="87" t="s">
        <v>173</v>
      </c>
      <c r="K881" s="87"/>
      <c r="L881" s="90" t="s">
        <v>80</v>
      </c>
      <c r="M881" s="91" t="s">
        <v>80</v>
      </c>
      <c r="N881" s="90" t="s">
        <v>80</v>
      </c>
      <c r="O881" s="90" t="str">
        <f>_xlfn.TEXTJOIN(", ",TRUE,$P881:$T881)</f>
        <v>Distrital</v>
      </c>
      <c r="P881" s="87" t="s">
        <v>73</v>
      </c>
      <c r="Q881" s="87"/>
      <c r="R881" s="87"/>
      <c r="S881" s="87"/>
      <c r="T881" s="87"/>
      <c r="U881" s="87"/>
      <c r="V881" s="90" t="str">
        <f>_xlfn.TEXTJOIN(", ",TRUE,$W881:$AB881)</f>
        <v>Distrital</v>
      </c>
      <c r="W881" s="87" t="s">
        <v>73</v>
      </c>
      <c r="X881" s="87"/>
      <c r="Y881" s="87"/>
      <c r="Z881" s="87"/>
      <c r="AA881" s="87"/>
      <c r="AB881" s="87"/>
      <c r="AC881" s="90" t="str">
        <f>_xlfn.TEXTJOIN(", ",TRUE,$AD881:$AM881)</f>
        <v>Distrital</v>
      </c>
      <c r="AD881" s="87" t="s">
        <v>73</v>
      </c>
      <c r="AE881" s="87"/>
      <c r="AF881" s="87"/>
      <c r="AG881" s="87"/>
      <c r="AH881" s="87"/>
      <c r="AI881" s="87"/>
      <c r="AJ881" s="87"/>
      <c r="AK881" s="87"/>
      <c r="AL881" s="87"/>
      <c r="AM881" s="87"/>
      <c r="AN881" s="90" t="s">
        <v>80</v>
      </c>
      <c r="AO881" s="65" t="s">
        <v>2667</v>
      </c>
      <c r="AP881" s="82"/>
      <c r="AQ881" s="87" t="s">
        <v>60</v>
      </c>
      <c r="AR881" s="87" t="s">
        <v>77</v>
      </c>
      <c r="AS881" s="82"/>
      <c r="AT881" s="87">
        <v>6</v>
      </c>
      <c r="AU881" s="87">
        <v>13</v>
      </c>
      <c r="AV881" s="87">
        <f>AT881+AU881</f>
        <v>19</v>
      </c>
      <c r="AW881" s="87" t="str">
        <f>_xlfn.TEXTJOIN(", ",TRUE,$AX881:$AZ881)</f>
        <v>Ninguna</v>
      </c>
      <c r="AX881" s="87" t="s">
        <v>75</v>
      </c>
      <c r="AY881" s="87"/>
      <c r="AZ881" s="114"/>
      <c r="BA881" s="119" t="s">
        <v>4079</v>
      </c>
      <c r="BB881" s="84"/>
      <c r="BC881" s="85"/>
      <c r="BD881" s="85"/>
    </row>
    <row r="882" spans="1:56" s="86" customFormat="1" ht="57" customHeight="1">
      <c r="A882" s="78">
        <v>877</v>
      </c>
      <c r="B882" s="79" t="s">
        <v>1860</v>
      </c>
      <c r="C882" s="88">
        <v>45537</v>
      </c>
      <c r="D882" s="89">
        <v>0.70833333333333337</v>
      </c>
      <c r="E882" s="87" t="s">
        <v>93</v>
      </c>
      <c r="F882" s="87" t="s">
        <v>102</v>
      </c>
      <c r="G882" s="87" t="s">
        <v>95</v>
      </c>
      <c r="H882" s="90" t="s">
        <v>4080</v>
      </c>
      <c r="I882" s="90" t="s">
        <v>118</v>
      </c>
      <c r="J882" s="87" t="s">
        <v>119</v>
      </c>
      <c r="K882" s="87" t="s">
        <v>129</v>
      </c>
      <c r="L882" s="90" t="s">
        <v>1009</v>
      </c>
      <c r="M882" s="91" t="s">
        <v>2635</v>
      </c>
      <c r="N882" s="90" t="s">
        <v>1351</v>
      </c>
      <c r="O882" s="90" t="str">
        <f t="shared" si="159"/>
        <v>Distrital</v>
      </c>
      <c r="P882" s="87" t="s">
        <v>73</v>
      </c>
      <c r="Q882" s="87"/>
      <c r="R882" s="87"/>
      <c r="S882" s="87"/>
      <c r="T882" s="87"/>
      <c r="U882" s="87"/>
      <c r="V882" s="90" t="str">
        <f t="shared" si="160"/>
        <v>Distrital</v>
      </c>
      <c r="W882" s="87" t="s">
        <v>73</v>
      </c>
      <c r="X882" s="87"/>
      <c r="Y882" s="87"/>
      <c r="Z882" s="87"/>
      <c r="AA882" s="87"/>
      <c r="AB882" s="87"/>
      <c r="AC882" s="90" t="str">
        <f t="shared" si="161"/>
        <v>Distrital</v>
      </c>
      <c r="AD882" s="87" t="s">
        <v>73</v>
      </c>
      <c r="AE882" s="87"/>
      <c r="AF882" s="87"/>
      <c r="AG882" s="87"/>
      <c r="AH882" s="87"/>
      <c r="AI882" s="87"/>
      <c r="AJ882" s="87"/>
      <c r="AK882" s="87"/>
      <c r="AL882" s="87"/>
      <c r="AM882" s="87"/>
      <c r="AN882" s="90" t="s">
        <v>80</v>
      </c>
      <c r="AO882" s="126" t="s">
        <v>4081</v>
      </c>
      <c r="AP882" s="82"/>
      <c r="AQ882" s="87" t="s">
        <v>59</v>
      </c>
      <c r="AR882" s="87" t="s">
        <v>80</v>
      </c>
      <c r="AS882" s="82"/>
      <c r="AT882" s="87">
        <v>58</v>
      </c>
      <c r="AU882" s="87">
        <v>2</v>
      </c>
      <c r="AV882" s="87">
        <v>60</v>
      </c>
      <c r="AW882" s="87" t="str">
        <f t="shared" si="54"/>
        <v>Ninguna</v>
      </c>
      <c r="AX882" s="87" t="s">
        <v>75</v>
      </c>
      <c r="AY882" s="87"/>
      <c r="AZ882" s="87"/>
      <c r="BA882" s="91" t="s">
        <v>4082</v>
      </c>
      <c r="BB882" s="84"/>
      <c r="BC882" s="85"/>
      <c r="BD882" s="85"/>
    </row>
    <row r="883" spans="1:56" s="86" customFormat="1" ht="57" customHeight="1">
      <c r="A883" s="87">
        <v>878</v>
      </c>
      <c r="B883" s="79" t="s">
        <v>4083</v>
      </c>
      <c r="C883" s="88">
        <v>45538</v>
      </c>
      <c r="D883" s="89">
        <v>0.33333333333333331</v>
      </c>
      <c r="E883" s="87" t="s">
        <v>58</v>
      </c>
      <c r="F883" s="87" t="s">
        <v>1437</v>
      </c>
      <c r="G883" s="87" t="s">
        <v>62</v>
      </c>
      <c r="H883" s="90" t="s">
        <v>4084</v>
      </c>
      <c r="I883" s="90" t="s">
        <v>118</v>
      </c>
      <c r="J883" s="87" t="s">
        <v>816</v>
      </c>
      <c r="K883" s="87"/>
      <c r="L883" s="90" t="s">
        <v>80</v>
      </c>
      <c r="M883" s="91" t="s">
        <v>78</v>
      </c>
      <c r="N883" s="90" t="s">
        <v>80</v>
      </c>
      <c r="O883" s="90" t="str">
        <f t="shared" si="159"/>
        <v>Engativá</v>
      </c>
      <c r="P883" s="87" t="s">
        <v>123</v>
      </c>
      <c r="Q883" s="87"/>
      <c r="R883" s="87"/>
      <c r="S883" s="87"/>
      <c r="T883" s="87"/>
      <c r="U883" s="87"/>
      <c r="V883" s="90" t="str">
        <f t="shared" si="160"/>
        <v>Occidente</v>
      </c>
      <c r="W883" s="87" t="s">
        <v>124</v>
      </c>
      <c r="X883" s="87"/>
      <c r="Y883" s="87"/>
      <c r="Z883" s="87"/>
      <c r="AA883" s="87"/>
      <c r="AB883" s="87"/>
      <c r="AC883" s="90" t="str">
        <f t="shared" si="161"/>
        <v>Engativá</v>
      </c>
      <c r="AD883" s="87" t="s">
        <v>123</v>
      </c>
      <c r="AE883" s="87"/>
      <c r="AF883" s="87"/>
      <c r="AG883" s="87"/>
      <c r="AH883" s="87"/>
      <c r="AI883" s="87"/>
      <c r="AJ883" s="87"/>
      <c r="AK883" s="87"/>
      <c r="AL883" s="87"/>
      <c r="AM883" s="87"/>
      <c r="AN883" s="90" t="s">
        <v>80</v>
      </c>
      <c r="AO883" s="64" t="s">
        <v>4085</v>
      </c>
      <c r="AP883" s="82"/>
      <c r="AQ883" s="87" t="s">
        <v>59</v>
      </c>
      <c r="AR883" s="87" t="s">
        <v>80</v>
      </c>
      <c r="AS883" s="82"/>
      <c r="AT883" s="87">
        <v>0</v>
      </c>
      <c r="AU883" s="87"/>
      <c r="AV883" s="87">
        <f t="shared" si="162"/>
        <v>0</v>
      </c>
      <c r="AW883" s="87" t="str">
        <f t="shared" si="165"/>
        <v/>
      </c>
      <c r="AX883" s="87"/>
      <c r="AY883" s="87"/>
      <c r="AZ883" s="114"/>
      <c r="BA883" s="119"/>
      <c r="BB883" s="84"/>
      <c r="BC883" s="85"/>
      <c r="BD883" s="85"/>
    </row>
    <row r="884" spans="1:56" s="86" customFormat="1" ht="57" customHeight="1">
      <c r="A884" s="78">
        <v>879</v>
      </c>
      <c r="B884" s="79" t="s">
        <v>4086</v>
      </c>
      <c r="C884" s="88">
        <v>45538</v>
      </c>
      <c r="D884" s="89">
        <v>0.375</v>
      </c>
      <c r="E884" s="87" t="s">
        <v>58</v>
      </c>
      <c r="F884" s="87" t="s">
        <v>1142</v>
      </c>
      <c r="G884" s="87" t="s">
        <v>62</v>
      </c>
      <c r="H884" s="90" t="s">
        <v>4087</v>
      </c>
      <c r="I884" s="90" t="s">
        <v>118</v>
      </c>
      <c r="J884" s="87" t="s">
        <v>70</v>
      </c>
      <c r="K884" s="87" t="s">
        <v>71</v>
      </c>
      <c r="L884" s="90" t="s">
        <v>4088</v>
      </c>
      <c r="M884" s="91" t="s">
        <v>4089</v>
      </c>
      <c r="N884" s="90" t="s">
        <v>4090</v>
      </c>
      <c r="O884" s="90" t="str">
        <f t="shared" si="159"/>
        <v>Distrital</v>
      </c>
      <c r="P884" s="87" t="s">
        <v>73</v>
      </c>
      <c r="Q884" s="87"/>
      <c r="R884" s="87"/>
      <c r="S884" s="87"/>
      <c r="T884" s="87"/>
      <c r="U884" s="87"/>
      <c r="V884" s="90" t="str">
        <f t="shared" si="160"/>
        <v>Distrital</v>
      </c>
      <c r="W884" s="87" t="s">
        <v>73</v>
      </c>
      <c r="X884" s="87"/>
      <c r="Y884" s="87"/>
      <c r="Z884" s="87"/>
      <c r="AA884" s="87"/>
      <c r="AB884" s="87"/>
      <c r="AC884" s="90" t="str">
        <f t="shared" si="161"/>
        <v>Distrital</v>
      </c>
      <c r="AD884" s="87" t="s">
        <v>73</v>
      </c>
      <c r="AE884" s="87"/>
      <c r="AF884" s="87"/>
      <c r="AG884" s="87"/>
      <c r="AH884" s="87"/>
      <c r="AI884" s="87"/>
      <c r="AJ884" s="87"/>
      <c r="AK884" s="87"/>
      <c r="AL884" s="87"/>
      <c r="AM884" s="87"/>
      <c r="AN884" s="90" t="s">
        <v>80</v>
      </c>
      <c r="AO884" s="64" t="s">
        <v>80</v>
      </c>
      <c r="AP884" s="82"/>
      <c r="AQ884" s="87" t="s">
        <v>59</v>
      </c>
      <c r="AR884" s="87" t="s">
        <v>80</v>
      </c>
      <c r="AS884" s="82"/>
      <c r="AT884" s="87">
        <v>8</v>
      </c>
      <c r="AU884" s="87">
        <v>26</v>
      </c>
      <c r="AV884" s="87">
        <f t="shared" si="162"/>
        <v>34</v>
      </c>
      <c r="AW884" s="87" t="str">
        <f t="shared" si="54"/>
        <v>Ninguna</v>
      </c>
      <c r="AX884" s="87" t="s">
        <v>75</v>
      </c>
      <c r="AY884" s="87"/>
      <c r="AZ884" s="114"/>
      <c r="BA884" s="119" t="s">
        <v>4091</v>
      </c>
      <c r="BB884" s="84"/>
      <c r="BC884" s="85"/>
      <c r="BD884" s="85"/>
    </row>
    <row r="885" spans="1:56" s="86" customFormat="1" ht="57" customHeight="1">
      <c r="A885" s="87">
        <v>880</v>
      </c>
      <c r="B885" s="79" t="s">
        <v>4092</v>
      </c>
      <c r="C885" s="88">
        <v>45538</v>
      </c>
      <c r="D885" s="89">
        <v>0.375</v>
      </c>
      <c r="E885" s="87" t="s">
        <v>58</v>
      </c>
      <c r="F885" s="87" t="s">
        <v>1437</v>
      </c>
      <c r="G885" s="87" t="s">
        <v>95</v>
      </c>
      <c r="H885" s="90" t="s">
        <v>4093</v>
      </c>
      <c r="I885" s="90" t="s">
        <v>118</v>
      </c>
      <c r="J885" s="87" t="s">
        <v>70</v>
      </c>
      <c r="K885" s="87" t="s">
        <v>324</v>
      </c>
      <c r="L885" s="90" t="s">
        <v>72</v>
      </c>
      <c r="M885" s="91" t="s">
        <v>72</v>
      </c>
      <c r="N885" s="90" t="s">
        <v>72</v>
      </c>
      <c r="O885" s="90" t="str">
        <f t="shared" ref="O885:O895" si="166">_xlfn.TEXTJOIN(", ",TRUE,$P885:$T885)</f>
        <v>Distrital</v>
      </c>
      <c r="P885" s="87" t="s">
        <v>73</v>
      </c>
      <c r="Q885" s="87"/>
      <c r="R885" s="87"/>
      <c r="S885" s="87"/>
      <c r="T885" s="87"/>
      <c r="U885" s="87"/>
      <c r="V885" s="90" t="str">
        <f t="shared" ref="V885:V895" si="167">_xlfn.TEXTJOIN(", ",TRUE,$W885:$AB885)</f>
        <v>Distrital</v>
      </c>
      <c r="W885" s="87" t="s">
        <v>73</v>
      </c>
      <c r="X885" s="87"/>
      <c r="Y885" s="87"/>
      <c r="Z885" s="87"/>
      <c r="AA885" s="87"/>
      <c r="AB885" s="87"/>
      <c r="AC885" s="90" t="str">
        <f t="shared" ref="AC885:AC895" si="168">_xlfn.TEXTJOIN(", ",TRUE,$AD885:$AM885)</f>
        <v>Distrital</v>
      </c>
      <c r="AD885" s="87" t="s">
        <v>73</v>
      </c>
      <c r="AE885" s="87"/>
      <c r="AF885" s="87"/>
      <c r="AG885" s="87"/>
      <c r="AH885" s="87"/>
      <c r="AI885" s="87"/>
      <c r="AJ885" s="87"/>
      <c r="AK885" s="87"/>
      <c r="AL885" s="87"/>
      <c r="AM885" s="87"/>
      <c r="AN885" s="90" t="s">
        <v>3871</v>
      </c>
      <c r="AO885" s="102" t="s">
        <v>4094</v>
      </c>
      <c r="AP885" s="82"/>
      <c r="AQ885" s="87" t="s">
        <v>59</v>
      </c>
      <c r="AR885" s="87" t="s">
        <v>80</v>
      </c>
      <c r="AS885" s="82"/>
      <c r="AT885" s="87">
        <v>3</v>
      </c>
      <c r="AU885" s="87">
        <v>1</v>
      </c>
      <c r="AV885" s="87">
        <f>AT885+AU885</f>
        <v>4</v>
      </c>
      <c r="AW885" s="87" t="str">
        <f>_xlfn.TEXTJOIN(", ",TRUE,$AX885:$AZ885)</f>
        <v>Ninguna</v>
      </c>
      <c r="AX885" s="87" t="s">
        <v>75</v>
      </c>
      <c r="AY885" s="87"/>
      <c r="AZ885" s="87"/>
      <c r="BA885" s="91" t="s">
        <v>4095</v>
      </c>
      <c r="BB885" s="84"/>
      <c r="BC885" s="85"/>
      <c r="BD885" s="85"/>
    </row>
    <row r="886" spans="1:56" s="86" customFormat="1" ht="57.75" customHeight="1">
      <c r="A886" s="78">
        <v>881</v>
      </c>
      <c r="B886" s="79" t="s">
        <v>4096</v>
      </c>
      <c r="C886" s="88">
        <v>45538</v>
      </c>
      <c r="D886" s="89" t="s">
        <v>4097</v>
      </c>
      <c r="E886" s="87" t="s">
        <v>58</v>
      </c>
      <c r="F886" s="87" t="s">
        <v>135</v>
      </c>
      <c r="G886" s="87" t="s">
        <v>95</v>
      </c>
      <c r="H886" s="90" t="s">
        <v>4098</v>
      </c>
      <c r="I886" s="90" t="s">
        <v>128</v>
      </c>
      <c r="J886" s="87" t="s">
        <v>70</v>
      </c>
      <c r="K886" s="87" t="s">
        <v>324</v>
      </c>
      <c r="L886" s="90" t="s">
        <v>3984</v>
      </c>
      <c r="M886" s="91" t="s">
        <v>72</v>
      </c>
      <c r="N886" s="90" t="s">
        <v>349</v>
      </c>
      <c r="O886" s="90" t="str">
        <f t="shared" si="166"/>
        <v>Distrital</v>
      </c>
      <c r="P886" s="87" t="s">
        <v>73</v>
      </c>
      <c r="Q886" s="87"/>
      <c r="R886" s="87"/>
      <c r="S886" s="87"/>
      <c r="T886" s="87"/>
      <c r="U886" s="87"/>
      <c r="V886" s="90" t="str">
        <f t="shared" si="167"/>
        <v>Distrital</v>
      </c>
      <c r="W886" s="87" t="s">
        <v>73</v>
      </c>
      <c r="X886" s="87"/>
      <c r="Y886" s="87"/>
      <c r="Z886" s="87"/>
      <c r="AA886" s="87"/>
      <c r="AB886" s="87"/>
      <c r="AC886" s="90" t="str">
        <f t="shared" si="168"/>
        <v>Distrital</v>
      </c>
      <c r="AD886" s="87" t="s">
        <v>73</v>
      </c>
      <c r="AE886" s="87"/>
      <c r="AF886" s="87"/>
      <c r="AG886" s="87"/>
      <c r="AH886" s="87"/>
      <c r="AI886" s="87"/>
      <c r="AJ886" s="87"/>
      <c r="AK886" s="87"/>
      <c r="AL886" s="87"/>
      <c r="AM886" s="87"/>
      <c r="AN886" s="90" t="s">
        <v>73</v>
      </c>
      <c r="AO886" s="102" t="s">
        <v>2638</v>
      </c>
      <c r="AP886" s="82"/>
      <c r="AQ886" s="87" t="s">
        <v>59</v>
      </c>
      <c r="AR886" s="87" t="s">
        <v>80</v>
      </c>
      <c r="AS886" s="82"/>
      <c r="AT886" s="87">
        <v>5</v>
      </c>
      <c r="AU886" s="87">
        <v>3</v>
      </c>
      <c r="AV886" s="87">
        <f t="shared" ref="AV886" si="169">AT886+AU886</f>
        <v>8</v>
      </c>
      <c r="AW886" s="87" t="str">
        <f t="shared" si="54"/>
        <v>Horarios Acordes</v>
      </c>
      <c r="AX886" s="87" t="s">
        <v>213</v>
      </c>
      <c r="AY886" s="87"/>
      <c r="AZ886" s="87"/>
      <c r="BA886" s="91" t="s">
        <v>61</v>
      </c>
      <c r="BB886" s="84"/>
      <c r="BC886" s="85"/>
      <c r="BD886" s="85"/>
    </row>
    <row r="887" spans="1:56" s="86" customFormat="1" ht="57" customHeight="1">
      <c r="A887" s="87">
        <v>882</v>
      </c>
      <c r="B887" s="90" t="s">
        <v>4099</v>
      </c>
      <c r="C887" s="88">
        <v>45538</v>
      </c>
      <c r="D887" s="89">
        <v>0.70833333333333337</v>
      </c>
      <c r="E887" s="87" t="s">
        <v>58</v>
      </c>
      <c r="F887" s="87" t="s">
        <v>2207</v>
      </c>
      <c r="G887" s="87" t="s">
        <v>62</v>
      </c>
      <c r="H887" s="90" t="s">
        <v>4100</v>
      </c>
      <c r="I887" s="90" t="s">
        <v>118</v>
      </c>
      <c r="J887" s="87" t="s">
        <v>173</v>
      </c>
      <c r="K887" s="87"/>
      <c r="L887" s="90" t="s">
        <v>80</v>
      </c>
      <c r="M887" s="90" t="s">
        <v>80</v>
      </c>
      <c r="N887" s="90" t="s">
        <v>80</v>
      </c>
      <c r="O887" s="90" t="str">
        <f t="shared" si="166"/>
        <v>Distrital</v>
      </c>
      <c r="P887" s="87" t="s">
        <v>73</v>
      </c>
      <c r="Q887" s="87"/>
      <c r="R887" s="87"/>
      <c r="S887" s="87"/>
      <c r="T887" s="87"/>
      <c r="U887" s="87"/>
      <c r="V887" s="90" t="str">
        <f t="shared" si="167"/>
        <v>Distrital</v>
      </c>
      <c r="W887" s="87" t="s">
        <v>73</v>
      </c>
      <c r="X887" s="87"/>
      <c r="Y887" s="87"/>
      <c r="Z887" s="87"/>
      <c r="AA887" s="87"/>
      <c r="AB887" s="87"/>
      <c r="AC887" s="90" t="str">
        <f t="shared" si="168"/>
        <v>Distrital</v>
      </c>
      <c r="AD887" s="87" t="s">
        <v>73</v>
      </c>
      <c r="AE887" s="87"/>
      <c r="AF887" s="87"/>
      <c r="AG887" s="87"/>
      <c r="AH887" s="87"/>
      <c r="AI887" s="87"/>
      <c r="AJ887" s="87"/>
      <c r="AK887" s="87"/>
      <c r="AL887" s="87"/>
      <c r="AM887" s="87"/>
      <c r="AN887" s="90" t="s">
        <v>80</v>
      </c>
      <c r="AO887" s="90" t="s">
        <v>4101</v>
      </c>
      <c r="AP887" s="82"/>
      <c r="AQ887" s="87" t="s">
        <v>59</v>
      </c>
      <c r="AR887" s="87" t="s">
        <v>80</v>
      </c>
      <c r="AS887" s="82"/>
      <c r="AT887" s="87">
        <v>0</v>
      </c>
      <c r="AU887" s="87">
        <v>4</v>
      </c>
      <c r="AV887" s="87">
        <f t="shared" ref="AV887:AV893" si="170">AT887+AU887</f>
        <v>4</v>
      </c>
      <c r="AW887" s="87" t="str">
        <f>_xlfn.TEXTJOIN(", ",TRUE,$AX887:$AZ887)</f>
        <v/>
      </c>
      <c r="AX887" s="87"/>
      <c r="AY887" s="87"/>
      <c r="AZ887" s="87"/>
      <c r="BA887" s="91" t="s">
        <v>4102</v>
      </c>
      <c r="BB887" s="84"/>
      <c r="BC887" s="85"/>
      <c r="BD887" s="85"/>
    </row>
    <row r="888" spans="1:56" s="86" customFormat="1" ht="57" customHeight="1">
      <c r="A888" s="78">
        <v>883</v>
      </c>
      <c r="B888" s="79" t="s">
        <v>320</v>
      </c>
      <c r="C888" s="88">
        <v>45539</v>
      </c>
      <c r="D888" s="89">
        <v>0.33333333333333331</v>
      </c>
      <c r="E888" s="87" t="s">
        <v>93</v>
      </c>
      <c r="F888" s="87" t="s">
        <v>321</v>
      </c>
      <c r="G888" s="87" t="s">
        <v>95</v>
      </c>
      <c r="H888" s="90" t="s">
        <v>3545</v>
      </c>
      <c r="I888" s="90" t="s">
        <v>118</v>
      </c>
      <c r="J888" s="87" t="s">
        <v>70</v>
      </c>
      <c r="K888" s="87" t="s">
        <v>1810</v>
      </c>
      <c r="L888" s="90" t="s">
        <v>4103</v>
      </c>
      <c r="M888" s="91" t="s">
        <v>4104</v>
      </c>
      <c r="N888" s="90" t="s">
        <v>4105</v>
      </c>
      <c r="O888" s="90" t="str">
        <f t="shared" si="166"/>
        <v>Sumapaz</v>
      </c>
      <c r="P888" s="87" t="s">
        <v>327</v>
      </c>
      <c r="Q888" s="87"/>
      <c r="R888" s="87"/>
      <c r="S888" s="87"/>
      <c r="T888" s="87"/>
      <c r="U888" s="87"/>
      <c r="V888" s="90" t="str">
        <f t="shared" si="167"/>
        <v>Ruralidad</v>
      </c>
      <c r="W888" s="87" t="s">
        <v>109</v>
      </c>
      <c r="X888" s="87"/>
      <c r="Y888" s="87"/>
      <c r="Z888" s="87"/>
      <c r="AA888" s="87"/>
      <c r="AB888" s="87"/>
      <c r="AC888" s="90" t="str">
        <f t="shared" si="168"/>
        <v>Sumapaz</v>
      </c>
      <c r="AD888" s="87" t="s">
        <v>327</v>
      </c>
      <c r="AE888" s="87"/>
      <c r="AF888" s="87"/>
      <c r="AG888" s="87"/>
      <c r="AH888" s="87"/>
      <c r="AI888" s="87"/>
      <c r="AJ888" s="87"/>
      <c r="AK888" s="87"/>
      <c r="AL888" s="87"/>
      <c r="AM888" s="87"/>
      <c r="AN888" s="90" t="s">
        <v>2448</v>
      </c>
      <c r="AO888" s="64" t="s">
        <v>4106</v>
      </c>
      <c r="AP888" s="82"/>
      <c r="AQ888" s="87" t="s">
        <v>59</v>
      </c>
      <c r="AR888" s="87" t="s">
        <v>80</v>
      </c>
      <c r="AS888" s="82"/>
      <c r="AT888" s="87">
        <v>24</v>
      </c>
      <c r="AU888" s="87">
        <v>1</v>
      </c>
      <c r="AV888" s="87">
        <f t="shared" si="170"/>
        <v>25</v>
      </c>
      <c r="AW888" s="87" t="str">
        <f t="shared" si="54"/>
        <v>Ninguna</v>
      </c>
      <c r="AX888" s="87" t="s">
        <v>75</v>
      </c>
      <c r="AY888" s="87"/>
      <c r="AZ888" s="114"/>
      <c r="BA888" s="119" t="s">
        <v>4107</v>
      </c>
      <c r="BB888" s="84"/>
      <c r="BC888" s="85"/>
      <c r="BD888" s="85"/>
    </row>
    <row r="889" spans="1:56" s="86" customFormat="1" ht="57" customHeight="1">
      <c r="A889" s="87">
        <v>884</v>
      </c>
      <c r="B889" s="79" t="s">
        <v>4108</v>
      </c>
      <c r="C889" s="88">
        <v>45539</v>
      </c>
      <c r="D889" s="89">
        <v>0.58333333333333337</v>
      </c>
      <c r="E889" s="87" t="s">
        <v>58</v>
      </c>
      <c r="F889" s="87" t="s">
        <v>1437</v>
      </c>
      <c r="G889" s="87" t="s">
        <v>95</v>
      </c>
      <c r="H889" s="90" t="s">
        <v>4109</v>
      </c>
      <c r="I889" s="90" t="s">
        <v>118</v>
      </c>
      <c r="J889" s="87" t="s">
        <v>173</v>
      </c>
      <c r="K889" s="87"/>
      <c r="L889" s="90" t="s">
        <v>72</v>
      </c>
      <c r="M889" s="91" t="s">
        <v>72</v>
      </c>
      <c r="N889" s="90" t="s">
        <v>72</v>
      </c>
      <c r="O889" s="90" t="str">
        <f t="shared" si="166"/>
        <v>Distrital</v>
      </c>
      <c r="P889" s="87" t="s">
        <v>73</v>
      </c>
      <c r="Q889" s="87"/>
      <c r="R889" s="87"/>
      <c r="S889" s="87"/>
      <c r="T889" s="87"/>
      <c r="U889" s="87"/>
      <c r="V889" s="90" t="str">
        <f t="shared" si="167"/>
        <v>Distrital</v>
      </c>
      <c r="W889" s="87" t="s">
        <v>73</v>
      </c>
      <c r="X889" s="87"/>
      <c r="Y889" s="87"/>
      <c r="Z889" s="87"/>
      <c r="AA889" s="87"/>
      <c r="AB889" s="87"/>
      <c r="AC889" s="90" t="str">
        <f t="shared" si="168"/>
        <v>Distrital</v>
      </c>
      <c r="AD889" s="87" t="s">
        <v>73</v>
      </c>
      <c r="AE889" s="87"/>
      <c r="AF889" s="87"/>
      <c r="AG889" s="87"/>
      <c r="AH889" s="87"/>
      <c r="AI889" s="87"/>
      <c r="AJ889" s="87"/>
      <c r="AK889" s="87"/>
      <c r="AL889" s="87"/>
      <c r="AM889" s="87"/>
      <c r="AN889" s="90" t="s">
        <v>80</v>
      </c>
      <c r="AO889" s="127" t="s">
        <v>2638</v>
      </c>
      <c r="AP889" s="82"/>
      <c r="AQ889" s="87" t="s">
        <v>59</v>
      </c>
      <c r="AR889" s="87" t="s">
        <v>80</v>
      </c>
      <c r="AS889" s="82"/>
      <c r="AT889" s="87">
        <v>13</v>
      </c>
      <c r="AU889" s="87">
        <v>4</v>
      </c>
      <c r="AV889" s="87">
        <f t="shared" si="170"/>
        <v>17</v>
      </c>
      <c r="AW889" s="87" t="str">
        <f t="shared" si="54"/>
        <v>Ninguna</v>
      </c>
      <c r="AX889" s="87" t="s">
        <v>75</v>
      </c>
      <c r="AY889" s="87"/>
      <c r="AZ889" s="87"/>
      <c r="BA889" s="108" t="s">
        <v>4110</v>
      </c>
      <c r="BB889" s="84"/>
      <c r="BC889" s="85"/>
      <c r="BD889" s="85"/>
    </row>
    <row r="890" spans="1:56" s="86" customFormat="1" ht="57" customHeight="1">
      <c r="A890" s="78">
        <v>885</v>
      </c>
      <c r="B890" s="79" t="s">
        <v>463</v>
      </c>
      <c r="C890" s="88">
        <v>45539</v>
      </c>
      <c r="D890" s="89">
        <v>0.58333333333333337</v>
      </c>
      <c r="E890" s="87" t="s">
        <v>93</v>
      </c>
      <c r="F890" s="87" t="s">
        <v>321</v>
      </c>
      <c r="G890" s="87" t="s">
        <v>62</v>
      </c>
      <c r="H890" s="90" t="s">
        <v>4111</v>
      </c>
      <c r="I890" s="90" t="s">
        <v>118</v>
      </c>
      <c r="J890" s="87" t="s">
        <v>70</v>
      </c>
      <c r="K890" s="87" t="s">
        <v>1810</v>
      </c>
      <c r="L890" s="90" t="s">
        <v>1447</v>
      </c>
      <c r="M890" s="91" t="s">
        <v>4112</v>
      </c>
      <c r="N890" s="90" t="s">
        <v>4113</v>
      </c>
      <c r="O890" s="90" t="str">
        <f t="shared" si="166"/>
        <v>Rafael Uribe Uribe</v>
      </c>
      <c r="P890" s="87" t="s">
        <v>414</v>
      </c>
      <c r="Q890" s="87"/>
      <c r="R890" s="87"/>
      <c r="S890" s="87"/>
      <c r="T890" s="87"/>
      <c r="U890" s="87"/>
      <c r="V890" s="90" t="str">
        <f t="shared" si="167"/>
        <v>Suroriente</v>
      </c>
      <c r="W890" s="87" t="s">
        <v>108</v>
      </c>
      <c r="X890" s="87"/>
      <c r="Y890" s="87"/>
      <c r="Z890" s="87"/>
      <c r="AA890" s="87"/>
      <c r="AB890" s="87"/>
      <c r="AC890" s="90" t="str">
        <f t="shared" si="168"/>
        <v>Rafael Uribe</v>
      </c>
      <c r="AD890" s="87" t="s">
        <v>467</v>
      </c>
      <c r="AE890" s="87"/>
      <c r="AF890" s="87"/>
      <c r="AG890" s="87"/>
      <c r="AH890" s="87"/>
      <c r="AI890" s="87"/>
      <c r="AJ890" s="87"/>
      <c r="AK890" s="87"/>
      <c r="AL890" s="87"/>
      <c r="AM890" s="87"/>
      <c r="AN890" s="90" t="s">
        <v>2487</v>
      </c>
      <c r="AO890" s="64" t="s">
        <v>4114</v>
      </c>
      <c r="AP890" s="82"/>
      <c r="AQ890" s="87" t="s">
        <v>59</v>
      </c>
      <c r="AR890" s="87" t="s">
        <v>80</v>
      </c>
      <c r="AS890" s="82"/>
      <c r="AT890" s="87">
        <v>17</v>
      </c>
      <c r="AU890" s="87">
        <v>1</v>
      </c>
      <c r="AV890" s="87">
        <f t="shared" si="170"/>
        <v>18</v>
      </c>
      <c r="AW890" s="87" t="str">
        <f t="shared" si="54"/>
        <v>Ninguna</v>
      </c>
      <c r="AX890" s="87" t="s">
        <v>75</v>
      </c>
      <c r="AY890" s="87"/>
      <c r="AZ890" s="114"/>
      <c r="BA890" s="119" t="s">
        <v>4115</v>
      </c>
      <c r="BB890" s="84"/>
      <c r="BC890" s="85"/>
      <c r="BD890" s="85"/>
    </row>
    <row r="891" spans="1:56" s="86" customFormat="1" ht="57" customHeight="1">
      <c r="A891" s="87">
        <v>886</v>
      </c>
      <c r="B891" s="79" t="s">
        <v>3710</v>
      </c>
      <c r="C891" s="88">
        <v>45539</v>
      </c>
      <c r="D891" s="89">
        <v>0.72916666666666663</v>
      </c>
      <c r="E891" s="87" t="s">
        <v>58</v>
      </c>
      <c r="F891" s="87" t="s">
        <v>2207</v>
      </c>
      <c r="G891" s="87" t="s">
        <v>95</v>
      </c>
      <c r="H891" s="90" t="s">
        <v>4116</v>
      </c>
      <c r="I891" s="90" t="s">
        <v>118</v>
      </c>
      <c r="J891" s="87" t="s">
        <v>173</v>
      </c>
      <c r="K891" s="87"/>
      <c r="L891" s="90" t="s">
        <v>72</v>
      </c>
      <c r="M891" s="90" t="s">
        <v>72</v>
      </c>
      <c r="N891" s="90" t="s">
        <v>72</v>
      </c>
      <c r="O891" s="90" t="str">
        <f t="shared" si="166"/>
        <v>Distrital</v>
      </c>
      <c r="P891" s="87" t="s">
        <v>73</v>
      </c>
      <c r="Q891" s="87"/>
      <c r="R891" s="87"/>
      <c r="S891" s="87"/>
      <c r="T891" s="87"/>
      <c r="U891" s="87"/>
      <c r="V891" s="90" t="str">
        <f t="shared" si="167"/>
        <v>Distrital</v>
      </c>
      <c r="W891" s="87" t="s">
        <v>73</v>
      </c>
      <c r="X891" s="87"/>
      <c r="Y891" s="87"/>
      <c r="Z891" s="87"/>
      <c r="AA891" s="87"/>
      <c r="AB891" s="87"/>
      <c r="AC891" s="90" t="str">
        <f t="shared" si="168"/>
        <v>Distrital</v>
      </c>
      <c r="AD891" s="87" t="s">
        <v>73</v>
      </c>
      <c r="AE891" s="87"/>
      <c r="AF891" s="87"/>
      <c r="AG891" s="87"/>
      <c r="AH891" s="87"/>
      <c r="AI891" s="87"/>
      <c r="AJ891" s="87"/>
      <c r="AK891" s="87"/>
      <c r="AL891" s="87"/>
      <c r="AM891" s="87"/>
      <c r="AN891" s="90" t="s">
        <v>80</v>
      </c>
      <c r="AO891" s="102" t="s">
        <v>2638</v>
      </c>
      <c r="AP891" s="82"/>
      <c r="AQ891" s="87" t="s">
        <v>59</v>
      </c>
      <c r="AR891" s="87" t="s">
        <v>80</v>
      </c>
      <c r="AS891" s="82"/>
      <c r="AT891" s="87">
        <v>1</v>
      </c>
      <c r="AU891" s="87">
        <v>2</v>
      </c>
      <c r="AV891" s="87">
        <f t="shared" si="170"/>
        <v>3</v>
      </c>
      <c r="AW891" s="87" t="str">
        <f t="shared" si="54"/>
        <v>Ninguna</v>
      </c>
      <c r="AX891" s="87" t="s">
        <v>75</v>
      </c>
      <c r="AY891" s="87"/>
      <c r="AZ891" s="87"/>
      <c r="BA891" s="108" t="s">
        <v>4117</v>
      </c>
      <c r="BB891" s="84"/>
      <c r="BC891" s="85"/>
      <c r="BD891" s="85"/>
    </row>
    <row r="892" spans="1:56" s="86" customFormat="1" ht="57" customHeight="1">
      <c r="A892" s="78">
        <v>887</v>
      </c>
      <c r="B892" s="79" t="s">
        <v>4118</v>
      </c>
      <c r="C892" s="88">
        <v>45540</v>
      </c>
      <c r="D892" s="89">
        <v>0.375</v>
      </c>
      <c r="E892" s="87" t="s">
        <v>93</v>
      </c>
      <c r="F892" s="87" t="s">
        <v>321</v>
      </c>
      <c r="G892" s="87" t="s">
        <v>95</v>
      </c>
      <c r="H892" s="90" t="s">
        <v>4119</v>
      </c>
      <c r="I892" s="90" t="s">
        <v>118</v>
      </c>
      <c r="J892" s="87" t="s">
        <v>70</v>
      </c>
      <c r="K892" s="87" t="s">
        <v>1810</v>
      </c>
      <c r="L892" s="90" t="s">
        <v>4120</v>
      </c>
      <c r="M892" s="91" t="s">
        <v>3188</v>
      </c>
      <c r="N892" s="90" t="s">
        <v>4121</v>
      </c>
      <c r="O892" s="90" t="str">
        <f t="shared" si="166"/>
        <v>Usaquén</v>
      </c>
      <c r="P892" s="87" t="s">
        <v>428</v>
      </c>
      <c r="Q892" s="87"/>
      <c r="R892" s="87"/>
      <c r="S892" s="87"/>
      <c r="T892" s="87"/>
      <c r="U892" s="87"/>
      <c r="V892" s="90" t="str">
        <f t="shared" si="167"/>
        <v>Norte</v>
      </c>
      <c r="W892" s="87" t="s">
        <v>429</v>
      </c>
      <c r="X892" s="87"/>
      <c r="Y892" s="87"/>
      <c r="Z892" s="87"/>
      <c r="AA892" s="87"/>
      <c r="AB892" s="87"/>
      <c r="AC892" s="90" t="str">
        <f t="shared" si="168"/>
        <v>Usaquén</v>
      </c>
      <c r="AD892" s="87" t="s">
        <v>428</v>
      </c>
      <c r="AE892" s="87"/>
      <c r="AF892" s="87"/>
      <c r="AG892" s="87"/>
      <c r="AH892" s="87"/>
      <c r="AI892" s="87"/>
      <c r="AJ892" s="87"/>
      <c r="AK892" s="87"/>
      <c r="AL892" s="87"/>
      <c r="AM892" s="87"/>
      <c r="AN892" s="90" t="s">
        <v>80</v>
      </c>
      <c r="AO892" s="128" t="s">
        <v>2638</v>
      </c>
      <c r="AP892" s="82"/>
      <c r="AQ892" s="87" t="s">
        <v>59</v>
      </c>
      <c r="AR892" s="87" t="s">
        <v>80</v>
      </c>
      <c r="AS892" s="82"/>
      <c r="AT892" s="87">
        <v>22</v>
      </c>
      <c r="AU892" s="87">
        <v>1</v>
      </c>
      <c r="AV892" s="87">
        <f t="shared" si="170"/>
        <v>23</v>
      </c>
      <c r="AW892" s="87" t="str">
        <f>_xlfn.TEXTJOIN(", ",TRUE,$AX892:$AZ892)</f>
        <v>Horarios Acordes</v>
      </c>
      <c r="AX892" s="87" t="s">
        <v>213</v>
      </c>
      <c r="AY892" s="87"/>
      <c r="AZ892" s="87"/>
      <c r="BA892" s="108" t="s">
        <v>4122</v>
      </c>
      <c r="BB892" s="84"/>
      <c r="BC892" s="85"/>
      <c r="BD892" s="85"/>
    </row>
    <row r="893" spans="1:56" s="86" customFormat="1" ht="66.75" customHeight="1">
      <c r="A893" s="87">
        <v>888</v>
      </c>
      <c r="B893" s="79" t="s">
        <v>4123</v>
      </c>
      <c r="C893" s="88">
        <v>45540</v>
      </c>
      <c r="D893" s="89">
        <v>0.375</v>
      </c>
      <c r="E893" s="87" t="s">
        <v>58</v>
      </c>
      <c r="F893" s="87" t="s">
        <v>149</v>
      </c>
      <c r="G893" s="87" t="s">
        <v>62</v>
      </c>
      <c r="H893" s="90" t="s">
        <v>4124</v>
      </c>
      <c r="I893" s="90" t="s">
        <v>64</v>
      </c>
      <c r="J893" s="87" t="s">
        <v>173</v>
      </c>
      <c r="K893" s="87"/>
      <c r="L893" s="90" t="s">
        <v>3569</v>
      </c>
      <c r="M893" s="91" t="s">
        <v>1695</v>
      </c>
      <c r="N893" s="90" t="s">
        <v>3570</v>
      </c>
      <c r="O893" s="90" t="str">
        <f t="shared" si="166"/>
        <v>Teusaquillo</v>
      </c>
      <c r="P893" s="87" t="s">
        <v>665</v>
      </c>
      <c r="Q893" s="87"/>
      <c r="R893" s="87"/>
      <c r="S893" s="87"/>
      <c r="T893" s="87"/>
      <c r="U893" s="87"/>
      <c r="V893" s="90" t="str">
        <f t="shared" si="167"/>
        <v>Centro Ampliado</v>
      </c>
      <c r="W893" s="87" t="s">
        <v>415</v>
      </c>
      <c r="X893" s="87"/>
      <c r="Y893" s="87"/>
      <c r="Z893" s="87"/>
      <c r="AA893" s="87"/>
      <c r="AB893" s="87"/>
      <c r="AC893" s="90" t="str">
        <f t="shared" si="168"/>
        <v>Teusaquillo</v>
      </c>
      <c r="AD893" s="87" t="s">
        <v>665</v>
      </c>
      <c r="AE893" s="87"/>
      <c r="AF893" s="87"/>
      <c r="AG893" s="87"/>
      <c r="AH893" s="87"/>
      <c r="AI893" s="87"/>
      <c r="AJ893" s="87"/>
      <c r="AK893" s="87"/>
      <c r="AL893" s="87"/>
      <c r="AM893" s="87"/>
      <c r="AN893" s="90" t="s">
        <v>1686</v>
      </c>
      <c r="AO893" s="79" t="s">
        <v>4125</v>
      </c>
      <c r="AP893" s="82"/>
      <c r="AQ893" s="87" t="s">
        <v>59</v>
      </c>
      <c r="AR893" s="87" t="s">
        <v>80</v>
      </c>
      <c r="AS893" s="82"/>
      <c r="AT893" s="87">
        <v>20</v>
      </c>
      <c r="AU893" s="87">
        <v>2</v>
      </c>
      <c r="AV893" s="87">
        <f t="shared" si="170"/>
        <v>22</v>
      </c>
      <c r="AW893" s="87" t="str">
        <f>_xlfn.TEXTJOIN(", ",TRUE,$AX893:$AZ893)</f>
        <v>Ninguna</v>
      </c>
      <c r="AX893" s="87" t="s">
        <v>75</v>
      </c>
      <c r="AY893" s="87"/>
      <c r="AZ893" s="87"/>
      <c r="BA893" s="91" t="s">
        <v>4126</v>
      </c>
      <c r="BB893" s="84"/>
      <c r="BC893" s="85"/>
      <c r="BD893" s="85"/>
    </row>
    <row r="894" spans="1:56" s="86" customFormat="1" ht="66.75" customHeight="1">
      <c r="A894" s="78">
        <v>889</v>
      </c>
      <c r="B894" s="79" t="s">
        <v>4127</v>
      </c>
      <c r="C894" s="88">
        <v>45540</v>
      </c>
      <c r="D894" s="89">
        <v>0.41666666666666669</v>
      </c>
      <c r="E894" s="87" t="s">
        <v>58</v>
      </c>
      <c r="F894" s="87" t="s">
        <v>2207</v>
      </c>
      <c r="G894" s="87" t="s">
        <v>95</v>
      </c>
      <c r="H894" s="90" t="s">
        <v>4128</v>
      </c>
      <c r="I894" s="90" t="s">
        <v>118</v>
      </c>
      <c r="J894" s="87" t="s">
        <v>173</v>
      </c>
      <c r="K894" s="87"/>
      <c r="L894" s="90" t="s">
        <v>72</v>
      </c>
      <c r="M894" s="90" t="s">
        <v>72</v>
      </c>
      <c r="N894" s="90" t="s">
        <v>72</v>
      </c>
      <c r="O894" s="90" t="str">
        <f t="shared" si="166"/>
        <v>Distrital</v>
      </c>
      <c r="P894" s="87" t="s">
        <v>73</v>
      </c>
      <c r="Q894" s="87"/>
      <c r="R894" s="87"/>
      <c r="S894" s="87"/>
      <c r="T894" s="87"/>
      <c r="U894" s="87"/>
      <c r="V894" s="90" t="str">
        <f t="shared" si="167"/>
        <v>Distrital</v>
      </c>
      <c r="W894" s="87" t="s">
        <v>73</v>
      </c>
      <c r="X894" s="87"/>
      <c r="Y894" s="87"/>
      <c r="Z894" s="87"/>
      <c r="AA894" s="87"/>
      <c r="AB894" s="87"/>
      <c r="AC894" s="90" t="str">
        <f t="shared" si="168"/>
        <v>Distrital</v>
      </c>
      <c r="AD894" s="87" t="s">
        <v>73</v>
      </c>
      <c r="AE894" s="87"/>
      <c r="AF894" s="87"/>
      <c r="AG894" s="87"/>
      <c r="AH894" s="87"/>
      <c r="AI894" s="87"/>
      <c r="AJ894" s="87"/>
      <c r="AK894" s="87"/>
      <c r="AL894" s="87"/>
      <c r="AM894" s="87"/>
      <c r="AN894" s="90" t="s">
        <v>80</v>
      </c>
      <c r="AO894" s="102" t="s">
        <v>2638</v>
      </c>
      <c r="AP894" s="82"/>
      <c r="AQ894" s="87" t="s">
        <v>59</v>
      </c>
      <c r="AR894" s="87" t="s">
        <v>80</v>
      </c>
      <c r="AS894" s="82"/>
      <c r="AT894" s="87">
        <v>0</v>
      </c>
      <c r="AU894" s="87">
        <v>6</v>
      </c>
      <c r="AV894" s="87">
        <f t="shared" ref="AV894:AV895" si="171">AT894+AU894</f>
        <v>6</v>
      </c>
      <c r="AW894" s="87" t="str">
        <f t="shared" si="54"/>
        <v/>
      </c>
      <c r="AX894" s="87"/>
      <c r="AY894" s="87"/>
      <c r="AZ894" s="87"/>
      <c r="BA894" s="91" t="s">
        <v>4129</v>
      </c>
      <c r="BB894" s="84"/>
      <c r="BC894" s="85"/>
      <c r="BD894" s="85"/>
    </row>
    <row r="895" spans="1:56" s="86" customFormat="1" ht="66.75" customHeight="1">
      <c r="A895" s="87">
        <v>890</v>
      </c>
      <c r="B895" s="79" t="s">
        <v>4130</v>
      </c>
      <c r="C895" s="88">
        <v>45540</v>
      </c>
      <c r="D895" s="89">
        <v>0.58333333333333337</v>
      </c>
      <c r="E895" s="87" t="s">
        <v>93</v>
      </c>
      <c r="F895" s="87" t="s">
        <v>321</v>
      </c>
      <c r="G895" s="87" t="s">
        <v>95</v>
      </c>
      <c r="H895" s="90" t="s">
        <v>4131</v>
      </c>
      <c r="I895" s="90" t="s">
        <v>118</v>
      </c>
      <c r="J895" s="87" t="s">
        <v>70</v>
      </c>
      <c r="K895" s="87" t="s">
        <v>1810</v>
      </c>
      <c r="L895" s="90" t="s">
        <v>2570</v>
      </c>
      <c r="M895" s="91" t="s">
        <v>3350</v>
      </c>
      <c r="N895" s="90" t="s">
        <v>4132</v>
      </c>
      <c r="O895" s="90" t="str">
        <f t="shared" si="166"/>
        <v>Suba</v>
      </c>
      <c r="P895" s="87" t="s">
        <v>394</v>
      </c>
      <c r="Q895" s="87"/>
      <c r="R895" s="87"/>
      <c r="S895" s="87"/>
      <c r="T895" s="87"/>
      <c r="U895" s="87"/>
      <c r="V895" s="90" t="str">
        <f t="shared" si="167"/>
        <v>Norte</v>
      </c>
      <c r="W895" s="87" t="s">
        <v>429</v>
      </c>
      <c r="X895" s="87"/>
      <c r="Y895" s="87"/>
      <c r="Z895" s="87"/>
      <c r="AA895" s="87"/>
      <c r="AB895" s="87"/>
      <c r="AC895" s="90" t="str">
        <f t="shared" si="168"/>
        <v>Suba</v>
      </c>
      <c r="AD895" s="87" t="s">
        <v>394</v>
      </c>
      <c r="AE895" s="87"/>
      <c r="AF895" s="87"/>
      <c r="AG895" s="87"/>
      <c r="AH895" s="87"/>
      <c r="AI895" s="87"/>
      <c r="AJ895" s="87"/>
      <c r="AK895" s="87"/>
      <c r="AL895" s="87"/>
      <c r="AM895" s="87"/>
      <c r="AN895" s="90" t="s">
        <v>80</v>
      </c>
      <c r="AO895" s="129" t="s">
        <v>2638</v>
      </c>
      <c r="AP895" s="82"/>
      <c r="AQ895" s="87" t="s">
        <v>59</v>
      </c>
      <c r="AR895" s="87" t="s">
        <v>80</v>
      </c>
      <c r="AS895" s="82"/>
      <c r="AT895" s="87">
        <v>20</v>
      </c>
      <c r="AU895" s="87">
        <v>2</v>
      </c>
      <c r="AV895" s="87">
        <f t="shared" si="171"/>
        <v>22</v>
      </c>
      <c r="AW895" s="87"/>
      <c r="AX895" s="87" t="s">
        <v>213</v>
      </c>
      <c r="AY895" s="87"/>
      <c r="AZ895" s="114"/>
      <c r="BA895" s="115" t="s">
        <v>4133</v>
      </c>
      <c r="BB895" s="84"/>
      <c r="BC895" s="85"/>
      <c r="BD895" s="85"/>
    </row>
    <row r="896" spans="1:56" s="86" customFormat="1" ht="40.5" customHeight="1">
      <c r="A896" s="78">
        <v>891</v>
      </c>
      <c r="B896" s="79" t="s">
        <v>4134</v>
      </c>
      <c r="C896" s="88">
        <v>45540</v>
      </c>
      <c r="D896" s="89">
        <v>0.60416666666666663</v>
      </c>
      <c r="E896" s="87" t="s">
        <v>58</v>
      </c>
      <c r="F896" s="87" t="s">
        <v>1437</v>
      </c>
      <c r="G896" s="87" t="s">
        <v>62</v>
      </c>
      <c r="H896" s="90" t="s">
        <v>4135</v>
      </c>
      <c r="I896" s="90" t="s">
        <v>118</v>
      </c>
      <c r="J896" s="87" t="s">
        <v>70</v>
      </c>
      <c r="K896" s="87" t="s">
        <v>71</v>
      </c>
      <c r="L896" s="130" t="s">
        <v>72</v>
      </c>
      <c r="M896" s="130" t="s">
        <v>72</v>
      </c>
      <c r="N896" s="130" t="s">
        <v>72</v>
      </c>
      <c r="O896" s="90" t="s">
        <v>73</v>
      </c>
      <c r="P896" s="87" t="s">
        <v>73</v>
      </c>
      <c r="Q896" s="87"/>
      <c r="R896" s="87"/>
      <c r="S896" s="87"/>
      <c r="T896" s="87"/>
      <c r="U896" s="87"/>
      <c r="V896" s="90" t="s">
        <v>73</v>
      </c>
      <c r="W896" s="87" t="s">
        <v>73</v>
      </c>
      <c r="X896" s="87"/>
      <c r="Y896" s="87"/>
      <c r="Z896" s="87"/>
      <c r="AA896" s="87"/>
      <c r="AB896" s="87"/>
      <c r="AC896" s="90" t="s">
        <v>73</v>
      </c>
      <c r="AD896" s="87" t="s">
        <v>73</v>
      </c>
      <c r="AE896" s="87"/>
      <c r="AF896" s="87"/>
      <c r="AG896" s="87"/>
      <c r="AH896" s="87"/>
      <c r="AI896" s="87"/>
      <c r="AJ896" s="87"/>
      <c r="AK896" s="87"/>
      <c r="AL896" s="87"/>
      <c r="AM896" s="87"/>
      <c r="AN896" s="90" t="s">
        <v>72</v>
      </c>
      <c r="AO896" s="90" t="s">
        <v>4136</v>
      </c>
      <c r="AP896" s="82"/>
      <c r="AQ896" s="87" t="s">
        <v>59</v>
      </c>
      <c r="AR896" s="87" t="s">
        <v>80</v>
      </c>
      <c r="AS896" s="82"/>
      <c r="AT896" s="87">
        <v>8</v>
      </c>
      <c r="AU896" s="87">
        <v>3</v>
      </c>
      <c r="AV896" s="87">
        <f t="shared" ref="AV896:AV897" si="172">AT896+AU896</f>
        <v>11</v>
      </c>
      <c r="AW896" s="87" t="str">
        <f t="shared" si="54"/>
        <v>Ninguna</v>
      </c>
      <c r="AX896" s="87" t="s">
        <v>75</v>
      </c>
      <c r="AY896" s="87"/>
      <c r="AZ896" s="87"/>
      <c r="BA896" s="91" t="s">
        <v>4137</v>
      </c>
      <c r="BB896" s="84"/>
      <c r="BC896" s="85"/>
      <c r="BD896" s="85"/>
    </row>
    <row r="897" spans="1:56" s="86" customFormat="1" ht="40.5" customHeight="1">
      <c r="A897" s="87">
        <v>892</v>
      </c>
      <c r="B897" s="79" t="s">
        <v>4138</v>
      </c>
      <c r="C897" s="88">
        <v>45540</v>
      </c>
      <c r="D897" s="89">
        <v>0.66666666666666663</v>
      </c>
      <c r="E897" s="87" t="s">
        <v>58</v>
      </c>
      <c r="F897" s="87" t="s">
        <v>61</v>
      </c>
      <c r="G897" s="87" t="s">
        <v>95</v>
      </c>
      <c r="H897" s="90" t="s">
        <v>4139</v>
      </c>
      <c r="I897" s="90" t="s">
        <v>118</v>
      </c>
      <c r="J897" s="87" t="s">
        <v>173</v>
      </c>
      <c r="K897" s="87"/>
      <c r="L897" s="90" t="s">
        <v>1120</v>
      </c>
      <c r="M897" s="91" t="s">
        <v>4140</v>
      </c>
      <c r="N897" s="90" t="s">
        <v>1121</v>
      </c>
      <c r="O897" s="90" t="str">
        <f t="shared" si="133"/>
        <v>No Especifica</v>
      </c>
      <c r="P897" s="87" t="s">
        <v>3483</v>
      </c>
      <c r="Q897" s="87"/>
      <c r="R897" s="87"/>
      <c r="S897" s="87"/>
      <c r="T897" s="87"/>
      <c r="U897" s="87"/>
      <c r="V897" s="90" t="str">
        <f t="shared" si="137"/>
        <v>Distrital</v>
      </c>
      <c r="W897" s="87" t="s">
        <v>73</v>
      </c>
      <c r="X897" s="87"/>
      <c r="Y897" s="87"/>
      <c r="Z897" s="87"/>
      <c r="AA897" s="87"/>
      <c r="AB897" s="87"/>
      <c r="AC897" s="90" t="str">
        <f t="shared" si="138"/>
        <v>Distrital</v>
      </c>
      <c r="AD897" s="87" t="s">
        <v>73</v>
      </c>
      <c r="AE897" s="87"/>
      <c r="AF897" s="87"/>
      <c r="AG897" s="87"/>
      <c r="AH897" s="87"/>
      <c r="AI897" s="87"/>
      <c r="AJ897" s="87"/>
      <c r="AK897" s="87"/>
      <c r="AL897" s="87"/>
      <c r="AM897" s="87"/>
      <c r="AN897" s="90" t="s">
        <v>72</v>
      </c>
      <c r="AO897" s="102" t="s">
        <v>2638</v>
      </c>
      <c r="AP897" s="82"/>
      <c r="AQ897" s="87" t="s">
        <v>59</v>
      </c>
      <c r="AR897" s="87" t="s">
        <v>80</v>
      </c>
      <c r="AS897" s="82"/>
      <c r="AT897" s="87">
        <v>2</v>
      </c>
      <c r="AU897" s="87">
        <v>1</v>
      </c>
      <c r="AV897" s="87">
        <f t="shared" si="172"/>
        <v>3</v>
      </c>
      <c r="AW897" s="87" t="str">
        <f t="shared" si="54"/>
        <v/>
      </c>
      <c r="AX897" s="87"/>
      <c r="AY897" s="87"/>
      <c r="AZ897" s="87"/>
      <c r="BA897" s="91" t="s">
        <v>4141</v>
      </c>
      <c r="BB897" s="84"/>
      <c r="BC897" s="85"/>
      <c r="BD897" s="85"/>
    </row>
    <row r="898" spans="1:56" s="86" customFormat="1" ht="51.75" customHeight="1">
      <c r="A898" s="78">
        <v>893</v>
      </c>
      <c r="B898" s="79" t="s">
        <v>437</v>
      </c>
      <c r="C898" s="88">
        <v>45540</v>
      </c>
      <c r="D898" s="89">
        <v>0.70833333333333337</v>
      </c>
      <c r="E898" s="87" t="s">
        <v>93</v>
      </c>
      <c r="F898" s="87" t="s">
        <v>102</v>
      </c>
      <c r="G898" s="87" t="s">
        <v>95</v>
      </c>
      <c r="H898" s="90" t="s">
        <v>4142</v>
      </c>
      <c r="I898" s="90" t="s">
        <v>118</v>
      </c>
      <c r="J898" s="87" t="s">
        <v>119</v>
      </c>
      <c r="K898" s="87" t="s">
        <v>129</v>
      </c>
      <c r="L898" s="90" t="s">
        <v>1286</v>
      </c>
      <c r="M898" s="91" t="s">
        <v>3965</v>
      </c>
      <c r="N898" s="90" t="s">
        <v>439</v>
      </c>
      <c r="O898" s="90" t="s">
        <v>73</v>
      </c>
      <c r="P898" s="87" t="s">
        <v>73</v>
      </c>
      <c r="Q898" s="87"/>
      <c r="R898" s="87"/>
      <c r="S898" s="87"/>
      <c r="T898" s="87"/>
      <c r="U898" s="87"/>
      <c r="V898" s="90" t="s">
        <v>73</v>
      </c>
      <c r="W898" s="87" t="s">
        <v>73</v>
      </c>
      <c r="X898" s="87"/>
      <c r="Y898" s="87"/>
      <c r="Z898" s="87"/>
      <c r="AA898" s="87"/>
      <c r="AB898" s="87"/>
      <c r="AC898" s="90" t="s">
        <v>73</v>
      </c>
      <c r="AD898" s="87" t="s">
        <v>73</v>
      </c>
      <c r="AE898" s="87"/>
      <c r="AF898" s="87"/>
      <c r="AG898" s="87"/>
      <c r="AH898" s="87"/>
      <c r="AI898" s="87"/>
      <c r="AJ898" s="87"/>
      <c r="AK898" s="87"/>
      <c r="AL898" s="87"/>
      <c r="AM898" s="87"/>
      <c r="AN898" s="90" t="s">
        <v>72</v>
      </c>
      <c r="AO898" s="102" t="s">
        <v>2638</v>
      </c>
      <c r="AP898" s="82"/>
      <c r="AQ898" s="87" t="s">
        <v>59</v>
      </c>
      <c r="AR898" s="87" t="s">
        <v>80</v>
      </c>
      <c r="AS898" s="82"/>
      <c r="AT898" s="87">
        <v>65</v>
      </c>
      <c r="AU898" s="87">
        <v>3</v>
      </c>
      <c r="AV898" s="87">
        <f t="shared" ref="AV898" si="173">AT898+AU898</f>
        <v>68</v>
      </c>
      <c r="AW898" s="87" t="str">
        <f t="shared" si="54"/>
        <v/>
      </c>
      <c r="AX898" s="87"/>
      <c r="AY898" s="87"/>
      <c r="AZ898" s="87"/>
      <c r="BA898" s="91" t="s">
        <v>4143</v>
      </c>
      <c r="BB898" s="84"/>
      <c r="BC898" s="85"/>
      <c r="BD898" s="85"/>
    </row>
    <row r="899" spans="1:56" s="86" customFormat="1" ht="66.75" customHeight="1">
      <c r="A899" s="87">
        <v>894</v>
      </c>
      <c r="B899" s="79" t="s">
        <v>4144</v>
      </c>
      <c r="C899" s="88">
        <v>45541</v>
      </c>
      <c r="D899" s="89">
        <v>0.58333333333333337</v>
      </c>
      <c r="E899" s="87" t="s">
        <v>58</v>
      </c>
      <c r="F899" s="87" t="s">
        <v>116</v>
      </c>
      <c r="G899" s="87" t="s">
        <v>62</v>
      </c>
      <c r="H899" s="90" t="s">
        <v>4145</v>
      </c>
      <c r="I899" s="90" t="s">
        <v>64</v>
      </c>
      <c r="J899" s="87" t="s">
        <v>173</v>
      </c>
      <c r="K899" s="87"/>
      <c r="L899" s="90" t="s">
        <v>72</v>
      </c>
      <c r="M899" s="90" t="s">
        <v>72</v>
      </c>
      <c r="N899" s="90" t="s">
        <v>72</v>
      </c>
      <c r="O899" s="90" t="str">
        <f>_xlfn.TEXTJOIN(", ",TRUE,$P899:$T899)</f>
        <v>Fontibón</v>
      </c>
      <c r="P899" s="87" t="s">
        <v>420</v>
      </c>
      <c r="Q899" s="87"/>
      <c r="R899" s="87"/>
      <c r="S899" s="87"/>
      <c r="T899" s="87"/>
      <c r="U899" s="87"/>
      <c r="V899" s="90" t="str">
        <f>_xlfn.TEXTJOIN(", ",TRUE,$W899:$AB899)</f>
        <v>Occidente</v>
      </c>
      <c r="W899" s="87" t="s">
        <v>124</v>
      </c>
      <c r="X899" s="87"/>
      <c r="Y899" s="87"/>
      <c r="Z899" s="87"/>
      <c r="AA899" s="87"/>
      <c r="AB899" s="87"/>
      <c r="AC899" s="90"/>
      <c r="AD899" s="87" t="s">
        <v>420</v>
      </c>
      <c r="AE899" s="87"/>
      <c r="AF899" s="87"/>
      <c r="AG899" s="87"/>
      <c r="AH899" s="87"/>
      <c r="AI899" s="87"/>
      <c r="AJ899" s="87"/>
      <c r="AK899" s="87"/>
      <c r="AL899" s="87"/>
      <c r="AM899" s="87"/>
      <c r="AN899" s="90" t="s">
        <v>420</v>
      </c>
      <c r="AO899" s="90" t="s">
        <v>4146</v>
      </c>
      <c r="AP899" s="82"/>
      <c r="AQ899" s="87" t="s">
        <v>59</v>
      </c>
      <c r="AR899" s="87" t="s">
        <v>80</v>
      </c>
      <c r="AS899" s="82"/>
      <c r="AT899" s="87">
        <v>11</v>
      </c>
      <c r="AU899" s="87">
        <v>8</v>
      </c>
      <c r="AV899" s="87">
        <f>AT899+AU899</f>
        <v>19</v>
      </c>
      <c r="AW899" s="87" t="str">
        <f>_xlfn.TEXTJOIN(", ",TRUE,$AX899:$AZ899)</f>
        <v/>
      </c>
      <c r="AX899" s="87"/>
      <c r="AY899" s="87"/>
      <c r="AZ899" s="87"/>
      <c r="BA899" s="91" t="s">
        <v>4147</v>
      </c>
      <c r="BB899" s="84"/>
      <c r="BC899" s="85"/>
      <c r="BD899" s="85"/>
    </row>
    <row r="900" spans="1:56" s="86" customFormat="1" ht="88.5" customHeight="1">
      <c r="A900" s="78">
        <v>895</v>
      </c>
      <c r="B900" s="79" t="s">
        <v>4148</v>
      </c>
      <c r="C900" s="88">
        <v>45542</v>
      </c>
      <c r="D900" s="89">
        <v>0.33333333333333331</v>
      </c>
      <c r="E900" s="87" t="s">
        <v>58</v>
      </c>
      <c r="F900" s="87" t="s">
        <v>61</v>
      </c>
      <c r="G900" s="87" t="s">
        <v>62</v>
      </c>
      <c r="H900" s="90" t="s">
        <v>3243</v>
      </c>
      <c r="I900" s="90" t="s">
        <v>128</v>
      </c>
      <c r="J900" s="87" t="s">
        <v>173</v>
      </c>
      <c r="K900" s="87"/>
      <c r="L900" s="90" t="s">
        <v>72</v>
      </c>
      <c r="M900" s="90" t="s">
        <v>72</v>
      </c>
      <c r="N900" s="90" t="s">
        <v>72</v>
      </c>
      <c r="O900" s="90" t="str">
        <f>_xlfn.TEXTJOIN(", ",TRUE,$P900:$T900)</f>
        <v>Barrios Unidos</v>
      </c>
      <c r="P900" s="87" t="s">
        <v>686</v>
      </c>
      <c r="Q900" s="87"/>
      <c r="R900" s="87"/>
      <c r="S900" s="87"/>
      <c r="T900" s="87"/>
      <c r="U900" s="87"/>
      <c r="V900" s="90" t="str">
        <f>_xlfn.TEXTJOIN(", ",TRUE,$W900:$AB900)</f>
        <v>Centro Ampliado</v>
      </c>
      <c r="W900" s="87" t="s">
        <v>415</v>
      </c>
      <c r="X900" s="87"/>
      <c r="Y900" s="87"/>
      <c r="Z900" s="87"/>
      <c r="AA900" s="87"/>
      <c r="AB900" s="87"/>
      <c r="AC900" s="90" t="str">
        <f>_xlfn.TEXTJOIN(", ",TRUE,$AD900:$AM900)</f>
        <v>Barrios Unidos, Centro Histórico, Teusaquillo, Chapinero, Restrepo, Puente Aranda</v>
      </c>
      <c r="AD900" s="87" t="s">
        <v>686</v>
      </c>
      <c r="AE900" s="87" t="s">
        <v>488</v>
      </c>
      <c r="AF900" s="87" t="s">
        <v>665</v>
      </c>
      <c r="AG900" s="87" t="s">
        <v>221</v>
      </c>
      <c r="AH900" s="87" t="s">
        <v>416</v>
      </c>
      <c r="AI900" s="87" t="s">
        <v>823</v>
      </c>
      <c r="AJ900" s="87"/>
      <c r="AK900" s="87"/>
      <c r="AL900" s="87"/>
      <c r="AM900" s="87"/>
      <c r="AN900" s="90" t="s">
        <v>415</v>
      </c>
      <c r="AO900" s="90" t="s">
        <v>4150</v>
      </c>
      <c r="AP900" s="82"/>
      <c r="AQ900" s="87" t="s">
        <v>60</v>
      </c>
      <c r="AR900" s="87" t="s">
        <v>2854</v>
      </c>
      <c r="AS900" s="82"/>
      <c r="AT900" s="87">
        <v>61</v>
      </c>
      <c r="AU900" s="87">
        <v>25</v>
      </c>
      <c r="AV900" s="87">
        <f>AT900+AU900</f>
        <v>86</v>
      </c>
      <c r="AW900" s="87" t="str">
        <f>_xlfn.TEXTJOIN(", ",TRUE,$AX900:$AZ900)</f>
        <v>Lenguaje de señas</v>
      </c>
      <c r="AX900" s="87" t="s">
        <v>211</v>
      </c>
      <c r="AY900" s="87"/>
      <c r="AZ900" s="87"/>
      <c r="BA900" s="91" t="s">
        <v>4151</v>
      </c>
      <c r="BB900" s="84"/>
      <c r="BC900" s="85"/>
      <c r="BD900" s="85"/>
    </row>
    <row r="901" spans="1:56" s="86" customFormat="1" ht="66.75" customHeight="1">
      <c r="A901" s="87">
        <v>896</v>
      </c>
      <c r="B901" s="79" t="s">
        <v>4152</v>
      </c>
      <c r="C901" s="88">
        <v>45542</v>
      </c>
      <c r="D901" s="89">
        <v>0.5</v>
      </c>
      <c r="E901" s="87" t="s">
        <v>58</v>
      </c>
      <c r="F901" s="87" t="s">
        <v>1437</v>
      </c>
      <c r="G901" s="87" t="s">
        <v>62</v>
      </c>
      <c r="H901" s="90" t="s">
        <v>4153</v>
      </c>
      <c r="I901" s="90" t="s">
        <v>118</v>
      </c>
      <c r="J901" s="87" t="s">
        <v>816</v>
      </c>
      <c r="K901" s="87"/>
      <c r="L901" s="130" t="s">
        <v>72</v>
      </c>
      <c r="M901" s="130" t="s">
        <v>72</v>
      </c>
      <c r="N901" s="130" t="s">
        <v>72</v>
      </c>
      <c r="O901" s="90" t="str">
        <f t="shared" si="133"/>
        <v>Sumapaz</v>
      </c>
      <c r="P901" s="87" t="s">
        <v>327</v>
      </c>
      <c r="Q901" s="87"/>
      <c r="R901" s="87"/>
      <c r="S901" s="87"/>
      <c r="T901" s="87"/>
      <c r="U901" s="87"/>
      <c r="V901" s="90" t="str">
        <f t="shared" si="137"/>
        <v>Ruralidad</v>
      </c>
      <c r="W901" s="87" t="s">
        <v>109</v>
      </c>
      <c r="X901" s="87"/>
      <c r="Y901" s="87"/>
      <c r="Z901" s="87"/>
      <c r="AA901" s="87"/>
      <c r="AB901" s="87"/>
      <c r="AC901" s="90" t="str">
        <f t="shared" si="138"/>
        <v>Sumapaz</v>
      </c>
      <c r="AD901" s="87" t="s">
        <v>327</v>
      </c>
      <c r="AE901" s="87"/>
      <c r="AF901" s="87"/>
      <c r="AG901" s="87"/>
      <c r="AH901" s="87"/>
      <c r="AI901" s="87"/>
      <c r="AJ901" s="87"/>
      <c r="AK901" s="87"/>
      <c r="AL901" s="87"/>
      <c r="AM901" s="87"/>
      <c r="AN901" s="90" t="s">
        <v>80</v>
      </c>
      <c r="AO901" s="79" t="s">
        <v>4154</v>
      </c>
      <c r="AP901" s="82"/>
      <c r="AQ901" s="87" t="s">
        <v>59</v>
      </c>
      <c r="AR901" s="87" t="s">
        <v>80</v>
      </c>
      <c r="AS901" s="82"/>
      <c r="AT901" s="87">
        <v>0</v>
      </c>
      <c r="AU901" s="87"/>
      <c r="AV901" s="87">
        <f t="shared" ref="AV901:AV1036" si="174">AT901+AU901</f>
        <v>0</v>
      </c>
      <c r="AW901" s="87" t="str">
        <f t="shared" si="54"/>
        <v/>
      </c>
      <c r="AX901" s="87"/>
      <c r="AY901" s="87"/>
      <c r="AZ901" s="87"/>
      <c r="BA901" s="91"/>
      <c r="BB901" s="84"/>
      <c r="BC901" s="85"/>
      <c r="BD901" s="85"/>
    </row>
    <row r="902" spans="1:56" s="86" customFormat="1" ht="66.75" customHeight="1">
      <c r="A902" s="78">
        <v>897</v>
      </c>
      <c r="B902" s="79" t="s">
        <v>4155</v>
      </c>
      <c r="C902" s="88">
        <v>45543</v>
      </c>
      <c r="D902" s="89">
        <v>0.33333333333333331</v>
      </c>
      <c r="E902" s="87" t="s">
        <v>58</v>
      </c>
      <c r="F902" s="87" t="s">
        <v>1437</v>
      </c>
      <c r="G902" s="87" t="s">
        <v>62</v>
      </c>
      <c r="H902" s="90" t="s">
        <v>4156</v>
      </c>
      <c r="I902" s="90" t="s">
        <v>118</v>
      </c>
      <c r="J902" s="87" t="s">
        <v>816</v>
      </c>
      <c r="K902" s="87"/>
      <c r="L902" s="130" t="s">
        <v>72</v>
      </c>
      <c r="M902" s="130" t="s">
        <v>72</v>
      </c>
      <c r="N902" s="130" t="s">
        <v>72</v>
      </c>
      <c r="O902" s="90" t="str">
        <f t="shared" si="133"/>
        <v>Rafael Uribe Uribe</v>
      </c>
      <c r="P902" s="87" t="s">
        <v>414</v>
      </c>
      <c r="Q902" s="87"/>
      <c r="R902" s="87"/>
      <c r="S902" s="87"/>
      <c r="T902" s="87"/>
      <c r="U902" s="87"/>
      <c r="V902" s="90" t="str">
        <f t="shared" si="137"/>
        <v>Suroriente</v>
      </c>
      <c r="W902" s="87" t="s">
        <v>108</v>
      </c>
      <c r="X902" s="87"/>
      <c r="Y902" s="87"/>
      <c r="Z902" s="87"/>
      <c r="AA902" s="87"/>
      <c r="AB902" s="87"/>
      <c r="AC902" s="90" t="str">
        <f t="shared" si="138"/>
        <v>San Cristobal</v>
      </c>
      <c r="AD902" s="87" t="s">
        <v>371</v>
      </c>
      <c r="AE902" s="87"/>
      <c r="AF902" s="87"/>
      <c r="AG902" s="87"/>
      <c r="AH902" s="87"/>
      <c r="AI902" s="87"/>
      <c r="AJ902" s="87"/>
      <c r="AK902" s="87"/>
      <c r="AL902" s="87"/>
      <c r="AM902" s="87"/>
      <c r="AN902" s="90" t="s">
        <v>80</v>
      </c>
      <c r="AO902" s="79" t="s">
        <v>4157</v>
      </c>
      <c r="AP902" s="82"/>
      <c r="AQ902" s="87" t="s">
        <v>59</v>
      </c>
      <c r="AR902" s="87" t="s">
        <v>80</v>
      </c>
      <c r="AS902" s="82"/>
      <c r="AT902" s="87">
        <v>0</v>
      </c>
      <c r="AU902" s="87"/>
      <c r="AV902" s="87">
        <f t="shared" si="174"/>
        <v>0</v>
      </c>
      <c r="AW902" s="87" t="str">
        <f t="shared" si="54"/>
        <v/>
      </c>
      <c r="AX902" s="87"/>
      <c r="AY902" s="87"/>
      <c r="AZ902" s="87"/>
      <c r="BA902" s="91"/>
      <c r="BB902" s="84"/>
      <c r="BC902" s="85"/>
      <c r="BD902" s="85"/>
    </row>
    <row r="903" spans="1:56" s="86" customFormat="1" ht="66.75" customHeight="1">
      <c r="A903" s="87">
        <v>898</v>
      </c>
      <c r="B903" s="79" t="s">
        <v>4158</v>
      </c>
      <c r="C903" s="88">
        <v>45543</v>
      </c>
      <c r="D903" s="89">
        <v>0.33333333333333331</v>
      </c>
      <c r="E903" s="87" t="s">
        <v>58</v>
      </c>
      <c r="F903" s="87" t="s">
        <v>1437</v>
      </c>
      <c r="G903" s="87" t="s">
        <v>62</v>
      </c>
      <c r="H903" s="90" t="s">
        <v>4159</v>
      </c>
      <c r="I903" s="90" t="s">
        <v>118</v>
      </c>
      <c r="J903" s="87" t="s">
        <v>816</v>
      </c>
      <c r="K903" s="87"/>
      <c r="L903" s="130" t="s">
        <v>72</v>
      </c>
      <c r="M903" s="130" t="s">
        <v>72</v>
      </c>
      <c r="N903" s="130" t="s">
        <v>72</v>
      </c>
      <c r="O903" s="90" t="str">
        <f t="shared" si="133"/>
        <v>Teusaquillo</v>
      </c>
      <c r="P903" s="87" t="s">
        <v>665</v>
      </c>
      <c r="Q903" s="87"/>
      <c r="R903" s="87"/>
      <c r="S903" s="87"/>
      <c r="T903" s="87"/>
      <c r="U903" s="87"/>
      <c r="V903" s="90" t="str">
        <f t="shared" si="137"/>
        <v>Centro Ampliado</v>
      </c>
      <c r="W903" s="87" t="s">
        <v>415</v>
      </c>
      <c r="X903" s="87"/>
      <c r="Y903" s="87"/>
      <c r="Z903" s="87"/>
      <c r="AA903" s="87"/>
      <c r="AB903" s="87"/>
      <c r="AC903" s="90" t="str">
        <f t="shared" si="138"/>
        <v>Teusaquillo</v>
      </c>
      <c r="AD903" s="87" t="s">
        <v>665</v>
      </c>
      <c r="AE903" s="87"/>
      <c r="AF903" s="87"/>
      <c r="AG903" s="87"/>
      <c r="AH903" s="87"/>
      <c r="AI903" s="87"/>
      <c r="AJ903" s="87"/>
      <c r="AK903" s="87"/>
      <c r="AL903" s="87"/>
      <c r="AM903" s="87"/>
      <c r="AN903" s="90" t="s">
        <v>80</v>
      </c>
      <c r="AO903" s="79" t="s">
        <v>4160</v>
      </c>
      <c r="AP903" s="82"/>
      <c r="AQ903" s="87" t="s">
        <v>59</v>
      </c>
      <c r="AR903" s="87" t="s">
        <v>80</v>
      </c>
      <c r="AS903" s="82"/>
      <c r="AT903" s="87">
        <v>0</v>
      </c>
      <c r="AU903" s="87"/>
      <c r="AV903" s="87">
        <f t="shared" si="174"/>
        <v>0</v>
      </c>
      <c r="AW903" s="87" t="str">
        <f t="shared" si="54"/>
        <v/>
      </c>
      <c r="AX903" s="87"/>
      <c r="AY903" s="87"/>
      <c r="AZ903" s="87"/>
      <c r="BA903" s="91"/>
      <c r="BB903" s="84"/>
      <c r="BC903" s="85"/>
      <c r="BD903" s="85"/>
    </row>
    <row r="904" spans="1:56" s="86" customFormat="1" ht="66.75" customHeight="1">
      <c r="A904" s="78">
        <v>899</v>
      </c>
      <c r="B904" s="79" t="s">
        <v>4161</v>
      </c>
      <c r="C904" s="88">
        <v>45544</v>
      </c>
      <c r="D904" s="89">
        <v>0.33333333333333331</v>
      </c>
      <c r="E904" s="87" t="s">
        <v>58</v>
      </c>
      <c r="F904" s="87" t="s">
        <v>1437</v>
      </c>
      <c r="G904" s="87" t="s">
        <v>62</v>
      </c>
      <c r="H904" s="90" t="s">
        <v>4162</v>
      </c>
      <c r="I904" s="90" t="s">
        <v>118</v>
      </c>
      <c r="J904" s="87" t="s">
        <v>816</v>
      </c>
      <c r="K904" s="87"/>
      <c r="L904" s="130" t="s">
        <v>72</v>
      </c>
      <c r="M904" s="130" t="s">
        <v>72</v>
      </c>
      <c r="N904" s="130" t="s">
        <v>72</v>
      </c>
      <c r="O904" s="90" t="str">
        <f>_xlfn.TEXTJOIN(", ",TRUE,$P904:$T904)</f>
        <v>Antonio Nariño</v>
      </c>
      <c r="P904" s="87" t="s">
        <v>413</v>
      </c>
      <c r="Q904" s="87"/>
      <c r="R904" s="87"/>
      <c r="S904" s="87"/>
      <c r="T904" s="87"/>
      <c r="U904" s="87"/>
      <c r="V904" s="90" t="str">
        <f>_xlfn.TEXTJOIN(", ",TRUE,$W904:$AB904)</f>
        <v>Centro Ampliado</v>
      </c>
      <c r="W904" s="87" t="s">
        <v>415</v>
      </c>
      <c r="X904" s="87"/>
      <c r="Y904" s="87"/>
      <c r="Z904" s="87"/>
      <c r="AA904" s="87"/>
      <c r="AB904" s="87"/>
      <c r="AC904" s="90" t="str">
        <f>_xlfn.TEXTJOIN(", ",TRUE,$AD904:$AM904)</f>
        <v>Restrepo</v>
      </c>
      <c r="AD904" s="87" t="s">
        <v>416</v>
      </c>
      <c r="AE904" s="87"/>
      <c r="AF904" s="87"/>
      <c r="AG904" s="87"/>
      <c r="AH904" s="87"/>
      <c r="AI904" s="87"/>
      <c r="AJ904" s="87"/>
      <c r="AK904" s="87"/>
      <c r="AL904" s="87"/>
      <c r="AM904" s="87"/>
      <c r="AN904" s="90" t="s">
        <v>80</v>
      </c>
      <c r="AO904" s="79" t="s">
        <v>4163</v>
      </c>
      <c r="AP904" s="82"/>
      <c r="AQ904" s="87" t="s">
        <v>59</v>
      </c>
      <c r="AR904" s="87" t="s">
        <v>80</v>
      </c>
      <c r="AS904" s="82"/>
      <c r="AT904" s="87">
        <v>0</v>
      </c>
      <c r="AU904" s="87"/>
      <c r="AV904" s="87">
        <f>AT904+AU904</f>
        <v>0</v>
      </c>
      <c r="AW904" s="87" t="str">
        <f>_xlfn.TEXTJOIN(", ",TRUE,$AX904:$AZ904)</f>
        <v/>
      </c>
      <c r="AX904" s="87"/>
      <c r="AY904" s="87"/>
      <c r="AZ904" s="87"/>
      <c r="BA904" s="91"/>
      <c r="BB904" s="84"/>
      <c r="BC904" s="85"/>
      <c r="BD904" s="85"/>
    </row>
    <row r="905" spans="1:56" s="86" customFormat="1" ht="66.75" customHeight="1">
      <c r="A905" s="87">
        <v>900</v>
      </c>
      <c r="B905" s="79" t="s">
        <v>2451</v>
      </c>
      <c r="C905" s="88">
        <v>45544</v>
      </c>
      <c r="D905" s="89">
        <v>0.4375</v>
      </c>
      <c r="E905" s="87" t="s">
        <v>93</v>
      </c>
      <c r="F905" s="87" t="s">
        <v>321</v>
      </c>
      <c r="G905" s="87" t="s">
        <v>62</v>
      </c>
      <c r="H905" s="90" t="s">
        <v>2452</v>
      </c>
      <c r="I905" s="90" t="s">
        <v>118</v>
      </c>
      <c r="J905" s="87" t="s">
        <v>70</v>
      </c>
      <c r="K905" s="87" t="s">
        <v>1810</v>
      </c>
      <c r="L905" s="90" t="s">
        <v>4164</v>
      </c>
      <c r="M905" s="91">
        <v>3012144352</v>
      </c>
      <c r="N905" s="90" t="s">
        <v>3133</v>
      </c>
      <c r="O905" s="90" t="str">
        <f t="shared" si="133"/>
        <v>Santa Fe</v>
      </c>
      <c r="P905" s="87" t="s">
        <v>541</v>
      </c>
      <c r="Q905" s="87"/>
      <c r="R905" s="87"/>
      <c r="S905" s="87"/>
      <c r="T905" s="87"/>
      <c r="U905" s="87"/>
      <c r="V905" s="90" t="str">
        <f t="shared" si="137"/>
        <v>Centro Ampliado</v>
      </c>
      <c r="W905" s="87" t="s">
        <v>415</v>
      </c>
      <c r="X905" s="87"/>
      <c r="Y905" s="87"/>
      <c r="Z905" s="87"/>
      <c r="AA905" s="87"/>
      <c r="AB905" s="87"/>
      <c r="AC905" s="90" t="str">
        <f t="shared" si="138"/>
        <v>Centro Histórico</v>
      </c>
      <c r="AD905" s="87" t="s">
        <v>488</v>
      </c>
      <c r="AE905" s="87"/>
      <c r="AF905" s="87"/>
      <c r="AG905" s="87"/>
      <c r="AH905" s="87"/>
      <c r="AI905" s="87"/>
      <c r="AJ905" s="87"/>
      <c r="AK905" s="87"/>
      <c r="AL905" s="87"/>
      <c r="AM905" s="87"/>
      <c r="AN905" s="90" t="s">
        <v>80</v>
      </c>
      <c r="AO905" s="90" t="s">
        <v>4165</v>
      </c>
      <c r="AP905" s="82"/>
      <c r="AQ905" s="87" t="s">
        <v>59</v>
      </c>
      <c r="AR905" s="87" t="s">
        <v>80</v>
      </c>
      <c r="AS905" s="82"/>
      <c r="AT905" s="87">
        <v>25</v>
      </c>
      <c r="AU905" s="87">
        <v>1</v>
      </c>
      <c r="AV905" s="87">
        <f t="shared" si="174"/>
        <v>26</v>
      </c>
      <c r="AW905" s="87" t="str">
        <f t="shared" si="54"/>
        <v>Ninguna</v>
      </c>
      <c r="AX905" s="87" t="s">
        <v>75</v>
      </c>
      <c r="AY905" s="87"/>
      <c r="AZ905" s="87"/>
      <c r="BA905" s="91" t="s">
        <v>4166</v>
      </c>
      <c r="BB905" s="84"/>
      <c r="BC905" s="85"/>
      <c r="BD905" s="85"/>
    </row>
    <row r="906" spans="1:56" s="86" customFormat="1" ht="66.75" customHeight="1">
      <c r="A906" s="78">
        <v>901</v>
      </c>
      <c r="B906" s="79" t="s">
        <v>4167</v>
      </c>
      <c r="C906" s="88">
        <v>45544</v>
      </c>
      <c r="D906" s="89">
        <v>0.45833333333333331</v>
      </c>
      <c r="E906" s="87" t="s">
        <v>58</v>
      </c>
      <c r="F906" s="87" t="s">
        <v>2207</v>
      </c>
      <c r="G906" s="87" t="s">
        <v>62</v>
      </c>
      <c r="H906" s="90" t="s">
        <v>4168</v>
      </c>
      <c r="I906" s="90" t="s">
        <v>118</v>
      </c>
      <c r="J906" s="87" t="s">
        <v>173</v>
      </c>
      <c r="K906" s="87"/>
      <c r="L906" s="130" t="s">
        <v>80</v>
      </c>
      <c r="M906" s="130" t="s">
        <v>80</v>
      </c>
      <c r="N906" s="130" t="s">
        <v>80</v>
      </c>
      <c r="O906" s="90" t="str">
        <f>_xlfn.TEXTJOIN(", ",TRUE,$P906:$T906)</f>
        <v>Distrital</v>
      </c>
      <c r="P906" s="87" t="s">
        <v>73</v>
      </c>
      <c r="Q906" s="87"/>
      <c r="R906" s="87"/>
      <c r="S906" s="87"/>
      <c r="T906" s="87"/>
      <c r="U906" s="87"/>
      <c r="V906" s="90" t="str">
        <f>_xlfn.TEXTJOIN(", ",TRUE,$W906:$AB906)</f>
        <v>Distrital</v>
      </c>
      <c r="W906" s="87" t="s">
        <v>73</v>
      </c>
      <c r="X906" s="87"/>
      <c r="Y906" s="87"/>
      <c r="Z906" s="87"/>
      <c r="AA906" s="87"/>
      <c r="AB906" s="87"/>
      <c r="AC906" s="90" t="str">
        <f>_xlfn.TEXTJOIN(", ",TRUE,$AD906:$AM906)</f>
        <v>Distrital</v>
      </c>
      <c r="AD906" s="87" t="s">
        <v>73</v>
      </c>
      <c r="AE906" s="87"/>
      <c r="AF906" s="87"/>
      <c r="AG906" s="87"/>
      <c r="AH906" s="87"/>
      <c r="AI906" s="87"/>
      <c r="AJ906" s="87"/>
      <c r="AK906" s="87"/>
      <c r="AL906" s="87"/>
      <c r="AM906" s="87"/>
      <c r="AN906" s="90" t="s">
        <v>80</v>
      </c>
      <c r="AO906" s="79" t="s">
        <v>4169</v>
      </c>
      <c r="AP906" s="82"/>
      <c r="AQ906" s="87" t="s">
        <v>59</v>
      </c>
      <c r="AR906" s="87" t="s">
        <v>80</v>
      </c>
      <c r="AS906" s="82"/>
      <c r="AT906" s="87">
        <v>0</v>
      </c>
      <c r="AU906" s="87">
        <v>4</v>
      </c>
      <c r="AV906" s="87">
        <f t="shared" ref="AV906" si="175">AT906+AU906</f>
        <v>4</v>
      </c>
      <c r="AW906" s="87" t="str">
        <f t="shared" si="54"/>
        <v>Ninguna</v>
      </c>
      <c r="AX906" s="87" t="s">
        <v>75</v>
      </c>
      <c r="AY906" s="87"/>
      <c r="AZ906" s="87"/>
      <c r="BA906" s="91" t="s">
        <v>4170</v>
      </c>
      <c r="BB906" s="84"/>
      <c r="BC906" s="85"/>
      <c r="BD906" s="85"/>
    </row>
    <row r="907" spans="1:56" s="86" customFormat="1" ht="66.75" customHeight="1">
      <c r="A907" s="87">
        <v>902</v>
      </c>
      <c r="B907" s="79" t="s">
        <v>4171</v>
      </c>
      <c r="C907" s="88">
        <v>45544</v>
      </c>
      <c r="D907" s="89">
        <v>0.58333333333333337</v>
      </c>
      <c r="E907" s="87" t="s">
        <v>58</v>
      </c>
      <c r="F907" s="87" t="s">
        <v>1437</v>
      </c>
      <c r="G907" s="87" t="s">
        <v>95</v>
      </c>
      <c r="H907" s="90" t="s">
        <v>4172</v>
      </c>
      <c r="I907" s="90" t="s">
        <v>118</v>
      </c>
      <c r="J907" s="87" t="s">
        <v>173</v>
      </c>
      <c r="K907" s="87"/>
      <c r="L907" s="130" t="s">
        <v>80</v>
      </c>
      <c r="M907" s="130" t="s">
        <v>78</v>
      </c>
      <c r="N907" s="130" t="s">
        <v>80</v>
      </c>
      <c r="O907" s="90" t="str">
        <f>_xlfn.TEXTJOIN(", ",TRUE,$P907:$T907)</f>
        <v>Distrital</v>
      </c>
      <c r="P907" s="87" t="s">
        <v>73</v>
      </c>
      <c r="Q907" s="87"/>
      <c r="R907" s="87"/>
      <c r="S907" s="87"/>
      <c r="T907" s="87"/>
      <c r="U907" s="87"/>
      <c r="V907" s="90" t="str">
        <f>_xlfn.TEXTJOIN(", ",TRUE,$W907:$AB907)</f>
        <v>Distrital</v>
      </c>
      <c r="W907" s="87" t="s">
        <v>73</v>
      </c>
      <c r="X907" s="87"/>
      <c r="Y907" s="87"/>
      <c r="Z907" s="87"/>
      <c r="AA907" s="87"/>
      <c r="AB907" s="87"/>
      <c r="AC907" s="90" t="str">
        <f>_xlfn.TEXTJOIN(", ",TRUE,$AD907:$AM907)</f>
        <v>Distrital</v>
      </c>
      <c r="AD907" s="87" t="s">
        <v>73</v>
      </c>
      <c r="AE907" s="87"/>
      <c r="AF907" s="87"/>
      <c r="AG907" s="87"/>
      <c r="AH907" s="87"/>
      <c r="AI907" s="87"/>
      <c r="AJ907" s="87"/>
      <c r="AK907" s="87"/>
      <c r="AL907" s="87"/>
      <c r="AM907" s="87"/>
      <c r="AN907" s="90" t="s">
        <v>80</v>
      </c>
      <c r="AO907" s="131" t="s">
        <v>2667</v>
      </c>
      <c r="AP907" s="82"/>
      <c r="AQ907" s="87" t="s">
        <v>59</v>
      </c>
      <c r="AR907" s="87" t="s">
        <v>80</v>
      </c>
      <c r="AS907" s="82"/>
      <c r="AT907" s="87">
        <v>5</v>
      </c>
      <c r="AU907" s="87">
        <v>4</v>
      </c>
      <c r="AV907" s="87">
        <f>AT907+AU907</f>
        <v>9</v>
      </c>
      <c r="AW907" s="87" t="str">
        <f t="shared" si="54"/>
        <v>Ninguna</v>
      </c>
      <c r="AX907" s="87" t="s">
        <v>75</v>
      </c>
      <c r="AY907" s="87"/>
      <c r="AZ907" s="87"/>
      <c r="BA907" s="91" t="s">
        <v>4173</v>
      </c>
      <c r="BB907" s="84"/>
      <c r="BC907" s="85"/>
      <c r="BD907" s="85"/>
    </row>
    <row r="908" spans="1:56" s="86" customFormat="1" ht="66.75" customHeight="1">
      <c r="A908" s="78">
        <v>903</v>
      </c>
      <c r="B908" s="79" t="s">
        <v>4174</v>
      </c>
      <c r="C908" s="88">
        <v>45544</v>
      </c>
      <c r="D908" s="89">
        <v>0.58333333333333337</v>
      </c>
      <c r="E908" s="87" t="s">
        <v>58</v>
      </c>
      <c r="F908" s="87" t="s">
        <v>1437</v>
      </c>
      <c r="G908" s="87" t="s">
        <v>62</v>
      </c>
      <c r="H908" s="90" t="s">
        <v>4175</v>
      </c>
      <c r="I908" s="90" t="s">
        <v>118</v>
      </c>
      <c r="J908" s="87" t="s">
        <v>816</v>
      </c>
      <c r="K908" s="87"/>
      <c r="L908" s="130" t="s">
        <v>72</v>
      </c>
      <c r="M908" s="130" t="s">
        <v>72</v>
      </c>
      <c r="N908" s="130" t="s">
        <v>72</v>
      </c>
      <c r="O908" s="90" t="str">
        <f t="shared" si="133"/>
        <v>Antonio Nariño</v>
      </c>
      <c r="P908" s="87" t="s">
        <v>413</v>
      </c>
      <c r="Q908" s="87"/>
      <c r="R908" s="87"/>
      <c r="S908" s="87"/>
      <c r="T908" s="87"/>
      <c r="U908" s="87"/>
      <c r="V908" s="90" t="str">
        <f t="shared" si="137"/>
        <v>Centro Ampliado</v>
      </c>
      <c r="W908" s="87" t="s">
        <v>415</v>
      </c>
      <c r="X908" s="87"/>
      <c r="Y908" s="87"/>
      <c r="Z908" s="87"/>
      <c r="AA908" s="87"/>
      <c r="AB908" s="87"/>
      <c r="AC908" s="90" t="str">
        <f t="shared" si="138"/>
        <v>Restrepo</v>
      </c>
      <c r="AD908" s="87" t="s">
        <v>416</v>
      </c>
      <c r="AE908" s="87"/>
      <c r="AF908" s="87"/>
      <c r="AG908" s="87"/>
      <c r="AH908" s="87"/>
      <c r="AI908" s="87"/>
      <c r="AJ908" s="87"/>
      <c r="AK908" s="87"/>
      <c r="AL908" s="87"/>
      <c r="AM908" s="87"/>
      <c r="AN908" s="90" t="s">
        <v>80</v>
      </c>
      <c r="AO908" s="79"/>
      <c r="AP908" s="82"/>
      <c r="AQ908" s="87" t="s">
        <v>59</v>
      </c>
      <c r="AR908" s="87" t="s">
        <v>80</v>
      </c>
      <c r="AS908" s="82"/>
      <c r="AT908" s="87">
        <v>0</v>
      </c>
      <c r="AU908" s="87"/>
      <c r="AV908" s="87">
        <f t="shared" ref="AV908:AV913" si="176">AT908+AU908</f>
        <v>0</v>
      </c>
      <c r="AW908" s="87" t="str">
        <f t="shared" si="54"/>
        <v/>
      </c>
      <c r="AX908" s="87"/>
      <c r="AY908" s="87"/>
      <c r="AZ908" s="87"/>
      <c r="BA908" s="91"/>
      <c r="BB908" s="84"/>
      <c r="BC908" s="85"/>
      <c r="BD908" s="85"/>
    </row>
    <row r="909" spans="1:56" s="86" customFormat="1" ht="66.75" customHeight="1">
      <c r="A909" s="87">
        <v>904</v>
      </c>
      <c r="B909" s="79" t="s">
        <v>4177</v>
      </c>
      <c r="C909" s="88">
        <v>45544</v>
      </c>
      <c r="D909" s="89">
        <v>0.70833333333333337</v>
      </c>
      <c r="E909" s="87" t="s">
        <v>93</v>
      </c>
      <c r="F909" s="87" t="s">
        <v>102</v>
      </c>
      <c r="G909" s="87" t="s">
        <v>95</v>
      </c>
      <c r="H909" s="90" t="s">
        <v>4178</v>
      </c>
      <c r="I909" s="90" t="s">
        <v>118</v>
      </c>
      <c r="J909" s="87" t="s">
        <v>119</v>
      </c>
      <c r="K909" s="87" t="s">
        <v>129</v>
      </c>
      <c r="L909" s="90" t="s">
        <v>4179</v>
      </c>
      <c r="M909" s="91" t="s">
        <v>4180</v>
      </c>
      <c r="N909" s="90" t="s">
        <v>4181</v>
      </c>
      <c r="O909" s="90" t="str">
        <f t="shared" si="133"/>
        <v>Distrital</v>
      </c>
      <c r="P909" s="87" t="s">
        <v>73</v>
      </c>
      <c r="Q909" s="87"/>
      <c r="R909" s="87"/>
      <c r="S909" s="87"/>
      <c r="T909" s="87"/>
      <c r="U909" s="87"/>
      <c r="V909" s="90" t="str">
        <f t="shared" si="137"/>
        <v>Distrital</v>
      </c>
      <c r="W909" s="87" t="s">
        <v>73</v>
      </c>
      <c r="X909" s="87"/>
      <c r="Y909" s="87"/>
      <c r="Z909" s="87"/>
      <c r="AA909" s="87"/>
      <c r="AB909" s="87"/>
      <c r="AC909" s="90" t="str">
        <f t="shared" si="138"/>
        <v>Distrital</v>
      </c>
      <c r="AD909" s="87" t="s">
        <v>73</v>
      </c>
      <c r="AE909" s="87"/>
      <c r="AF909" s="87"/>
      <c r="AG909" s="87"/>
      <c r="AH909" s="87"/>
      <c r="AI909" s="87"/>
      <c r="AJ909" s="87"/>
      <c r="AK909" s="87"/>
      <c r="AL909" s="87"/>
      <c r="AM909" s="87"/>
      <c r="AN909" s="90" t="s">
        <v>80</v>
      </c>
      <c r="AO909" s="102" t="s">
        <v>2638</v>
      </c>
      <c r="AP909" s="82"/>
      <c r="AQ909" s="87" t="s">
        <v>59</v>
      </c>
      <c r="AR909" s="87" t="s">
        <v>80</v>
      </c>
      <c r="AS909" s="82"/>
      <c r="AT909" s="87">
        <v>12</v>
      </c>
      <c r="AU909" s="87">
        <v>1</v>
      </c>
      <c r="AV909" s="87">
        <f t="shared" si="176"/>
        <v>13</v>
      </c>
      <c r="AW909" s="87" t="str">
        <f t="shared" si="54"/>
        <v/>
      </c>
      <c r="AX909" s="87"/>
      <c r="AY909" s="87"/>
      <c r="AZ909" s="87"/>
      <c r="BA909" s="91" t="s">
        <v>4182</v>
      </c>
      <c r="BB909" s="84"/>
      <c r="BC909" s="85"/>
      <c r="BD909" s="85"/>
    </row>
    <row r="910" spans="1:56" s="86" customFormat="1" ht="66.75" customHeight="1">
      <c r="A910" s="78">
        <v>905</v>
      </c>
      <c r="B910" s="79" t="s">
        <v>1726</v>
      </c>
      <c r="C910" s="88">
        <v>45544</v>
      </c>
      <c r="D910" s="89">
        <v>0.70833333333333337</v>
      </c>
      <c r="E910" s="87" t="s">
        <v>93</v>
      </c>
      <c r="F910" s="87" t="s">
        <v>102</v>
      </c>
      <c r="G910" s="87" t="s">
        <v>95</v>
      </c>
      <c r="H910" s="90" t="s">
        <v>4183</v>
      </c>
      <c r="I910" s="90" t="s">
        <v>118</v>
      </c>
      <c r="J910" s="87" t="s">
        <v>119</v>
      </c>
      <c r="K910" s="87" t="s">
        <v>129</v>
      </c>
      <c r="L910" s="90" t="s">
        <v>4184</v>
      </c>
      <c r="M910" s="91" t="s">
        <v>3950</v>
      </c>
      <c r="N910" s="90" t="s">
        <v>736</v>
      </c>
      <c r="O910" s="90" t="str">
        <f t="shared" si="133"/>
        <v>Distrital</v>
      </c>
      <c r="P910" s="87" t="s">
        <v>73</v>
      </c>
      <c r="Q910" s="87"/>
      <c r="R910" s="87"/>
      <c r="S910" s="87"/>
      <c r="T910" s="87"/>
      <c r="U910" s="87"/>
      <c r="V910" s="90" t="str">
        <f t="shared" si="137"/>
        <v>Distrital</v>
      </c>
      <c r="W910" s="87" t="s">
        <v>73</v>
      </c>
      <c r="X910" s="87"/>
      <c r="Y910" s="87"/>
      <c r="Z910" s="87"/>
      <c r="AA910" s="87"/>
      <c r="AB910" s="87"/>
      <c r="AC910" s="90" t="str">
        <f t="shared" si="138"/>
        <v>Distrital</v>
      </c>
      <c r="AD910" s="87" t="s">
        <v>73</v>
      </c>
      <c r="AE910" s="87"/>
      <c r="AF910" s="87"/>
      <c r="AG910" s="87"/>
      <c r="AH910" s="87"/>
      <c r="AI910" s="87"/>
      <c r="AJ910" s="87"/>
      <c r="AK910" s="87"/>
      <c r="AL910" s="87"/>
      <c r="AM910" s="87"/>
      <c r="AN910" s="90" t="s">
        <v>80</v>
      </c>
      <c r="AO910" s="102" t="s">
        <v>2638</v>
      </c>
      <c r="AP910" s="82"/>
      <c r="AQ910" s="87" t="s">
        <v>59</v>
      </c>
      <c r="AR910" s="87" t="s">
        <v>80</v>
      </c>
      <c r="AS910" s="82"/>
      <c r="AT910" s="87">
        <v>10</v>
      </c>
      <c r="AU910" s="87">
        <v>1</v>
      </c>
      <c r="AV910" s="87">
        <f t="shared" si="176"/>
        <v>11</v>
      </c>
      <c r="AW910" s="87" t="str">
        <f t="shared" si="54"/>
        <v/>
      </c>
      <c r="AX910" s="87"/>
      <c r="AY910" s="87"/>
      <c r="AZ910" s="87"/>
      <c r="BA910" s="91" t="s">
        <v>4185</v>
      </c>
      <c r="BB910" s="84"/>
      <c r="BC910" s="85"/>
      <c r="BD910" s="85"/>
    </row>
    <row r="911" spans="1:56" s="86" customFormat="1" ht="66.75" customHeight="1">
      <c r="A911" s="87">
        <v>906</v>
      </c>
      <c r="B911" s="79" t="s">
        <v>4186</v>
      </c>
      <c r="C911" s="88">
        <v>45544</v>
      </c>
      <c r="D911" s="89">
        <v>0.79166666666666663</v>
      </c>
      <c r="E911" s="87" t="s">
        <v>93</v>
      </c>
      <c r="F911" s="87" t="s">
        <v>102</v>
      </c>
      <c r="G911" s="87" t="s">
        <v>95</v>
      </c>
      <c r="H911" s="90" t="s">
        <v>4187</v>
      </c>
      <c r="I911" s="90" t="s">
        <v>118</v>
      </c>
      <c r="J911" s="87" t="s">
        <v>119</v>
      </c>
      <c r="K911" s="87" t="s">
        <v>129</v>
      </c>
      <c r="L911" s="87" t="s">
        <v>881</v>
      </c>
      <c r="M911" s="87">
        <v>3157917070</v>
      </c>
      <c r="N911" s="87" t="s">
        <v>883</v>
      </c>
      <c r="O911" s="90" t="str">
        <f>_xlfn.TEXTJOIN(", ",TRUE,$P911:$T911)</f>
        <v>Distrital</v>
      </c>
      <c r="P911" s="87" t="s">
        <v>73</v>
      </c>
      <c r="Q911" s="87"/>
      <c r="R911" s="87"/>
      <c r="S911" s="87"/>
      <c r="T911" s="87"/>
      <c r="U911" s="87"/>
      <c r="V911" s="90" t="str">
        <f>_xlfn.TEXTJOIN(", ",TRUE,$W911:$AB911)</f>
        <v>Distrital</v>
      </c>
      <c r="W911" s="87" t="s">
        <v>73</v>
      </c>
      <c r="X911" s="87"/>
      <c r="Y911" s="87"/>
      <c r="Z911" s="87"/>
      <c r="AA911" s="87"/>
      <c r="AB911" s="87"/>
      <c r="AC911" s="90" t="str">
        <f>_xlfn.TEXTJOIN(", ",TRUE,$AD911:$AM911)</f>
        <v>Distrital</v>
      </c>
      <c r="AD911" s="87" t="s">
        <v>73</v>
      </c>
      <c r="AE911" s="87"/>
      <c r="AF911" s="87"/>
      <c r="AG911" s="87"/>
      <c r="AH911" s="87"/>
      <c r="AI911" s="87"/>
      <c r="AJ911" s="87"/>
      <c r="AK911" s="87"/>
      <c r="AL911" s="87"/>
      <c r="AM911" s="87"/>
      <c r="AN911" s="90" t="s">
        <v>80</v>
      </c>
      <c r="AO911" s="102" t="s">
        <v>2638</v>
      </c>
      <c r="AP911" s="82"/>
      <c r="AQ911" s="87" t="s">
        <v>59</v>
      </c>
      <c r="AR911" s="87" t="s">
        <v>80</v>
      </c>
      <c r="AS911" s="82"/>
      <c r="AT911" s="87">
        <v>5</v>
      </c>
      <c r="AU911" s="87">
        <v>1</v>
      </c>
      <c r="AV911" s="87">
        <f>AT911+AU911</f>
        <v>6</v>
      </c>
      <c r="AW911" s="87" t="str">
        <f>_xlfn.TEXTJOIN(", ",TRUE,$AX911:$AZ911)</f>
        <v/>
      </c>
      <c r="AX911" s="87"/>
      <c r="AY911" s="87"/>
      <c r="AZ911" s="87"/>
      <c r="BA911" s="91" t="s">
        <v>4188</v>
      </c>
      <c r="BB911" s="84"/>
      <c r="BC911" s="85"/>
      <c r="BD911" s="85"/>
    </row>
    <row r="912" spans="1:56" s="86" customFormat="1" ht="66.75" customHeight="1">
      <c r="A912" s="78">
        <v>907</v>
      </c>
      <c r="B912" s="79" t="s">
        <v>4189</v>
      </c>
      <c r="C912" s="88">
        <v>45545</v>
      </c>
      <c r="D912" s="89">
        <v>0.375</v>
      </c>
      <c r="E912" s="87" t="s">
        <v>58</v>
      </c>
      <c r="F912" s="87" t="s">
        <v>135</v>
      </c>
      <c r="G912" s="87" t="s">
        <v>62</v>
      </c>
      <c r="H912" s="90" t="s">
        <v>4190</v>
      </c>
      <c r="I912" s="90" t="s">
        <v>118</v>
      </c>
      <c r="J912" s="87" t="s">
        <v>70</v>
      </c>
      <c r="K912" s="87" t="s">
        <v>71</v>
      </c>
      <c r="L912" s="90" t="s">
        <v>4191</v>
      </c>
      <c r="M912" s="91" t="s">
        <v>4192</v>
      </c>
      <c r="N912" s="90" t="s">
        <v>4193</v>
      </c>
      <c r="O912" s="90" t="str">
        <f>_xlfn.TEXTJOIN(", ",TRUE,$P912:$T912)</f>
        <v>Distrital</v>
      </c>
      <c r="P912" s="87" t="s">
        <v>73</v>
      </c>
      <c r="Q912" s="87"/>
      <c r="R912" s="87"/>
      <c r="S912" s="87"/>
      <c r="T912" s="87"/>
      <c r="U912" s="87"/>
      <c r="V912" s="90" t="str">
        <f>_xlfn.TEXTJOIN(", ",TRUE,$W912:$AB912)</f>
        <v>Distrital</v>
      </c>
      <c r="W912" s="87" t="s">
        <v>73</v>
      </c>
      <c r="X912" s="87"/>
      <c r="Y912" s="87"/>
      <c r="Z912" s="87"/>
      <c r="AA912" s="87"/>
      <c r="AB912" s="87"/>
      <c r="AC912" s="90" t="str">
        <f>_xlfn.TEXTJOIN(", ",TRUE,$AD912:$AM912)</f>
        <v>Distrital</v>
      </c>
      <c r="AD912" s="87" t="s">
        <v>73</v>
      </c>
      <c r="AE912" s="87"/>
      <c r="AF912" s="87"/>
      <c r="AG912" s="87"/>
      <c r="AH912" s="87"/>
      <c r="AI912" s="87"/>
      <c r="AJ912" s="87"/>
      <c r="AK912" s="87"/>
      <c r="AL912" s="87"/>
      <c r="AM912" s="87"/>
      <c r="AN912" s="90" t="s">
        <v>80</v>
      </c>
      <c r="AO912" s="79" t="s">
        <v>4194</v>
      </c>
      <c r="AP912" s="82"/>
      <c r="AQ912" s="87" t="s">
        <v>59</v>
      </c>
      <c r="AR912" s="87" t="s">
        <v>80</v>
      </c>
      <c r="AS912" s="82"/>
      <c r="AT912" s="87">
        <v>0</v>
      </c>
      <c r="AU912" s="87">
        <v>9</v>
      </c>
      <c r="AV912" s="87">
        <f>AT912+AU912</f>
        <v>9</v>
      </c>
      <c r="AW912" s="87" t="s">
        <v>184</v>
      </c>
      <c r="AX912" s="87"/>
      <c r="AY912" s="87"/>
      <c r="AZ912" s="87"/>
      <c r="BA912" s="91" t="s">
        <v>4195</v>
      </c>
      <c r="BB912" s="84"/>
      <c r="BC912" s="85"/>
      <c r="BD912" s="85"/>
    </row>
    <row r="913" spans="1:56" s="86" customFormat="1" ht="66.75" customHeight="1">
      <c r="A913" s="87">
        <v>908</v>
      </c>
      <c r="B913" s="79" t="s">
        <v>4196</v>
      </c>
      <c r="C913" s="88">
        <v>45545</v>
      </c>
      <c r="D913" s="89">
        <v>0.41666666666666669</v>
      </c>
      <c r="E913" s="87" t="s">
        <v>58</v>
      </c>
      <c r="F913" s="87" t="s">
        <v>1437</v>
      </c>
      <c r="G913" s="87" t="s">
        <v>62</v>
      </c>
      <c r="H913" s="90" t="s">
        <v>4197</v>
      </c>
      <c r="I913" s="90" t="s">
        <v>118</v>
      </c>
      <c r="J913" s="87" t="s">
        <v>173</v>
      </c>
      <c r="K913" s="87"/>
      <c r="L913" s="124" t="s">
        <v>80</v>
      </c>
      <c r="M913" s="115" t="s">
        <v>80</v>
      </c>
      <c r="N913" s="124" t="s">
        <v>80</v>
      </c>
      <c r="O913" s="90" t="str">
        <f t="shared" si="133"/>
        <v>Distrital</v>
      </c>
      <c r="P913" s="87" t="s">
        <v>73</v>
      </c>
      <c r="Q913" s="87"/>
      <c r="R913" s="87"/>
      <c r="S913" s="87"/>
      <c r="T913" s="87"/>
      <c r="U913" s="87"/>
      <c r="V913" s="90" t="str">
        <f t="shared" si="137"/>
        <v>Distrital</v>
      </c>
      <c r="W913" s="87" t="s">
        <v>73</v>
      </c>
      <c r="X913" s="87"/>
      <c r="Y913" s="87"/>
      <c r="Z913" s="87"/>
      <c r="AA913" s="87"/>
      <c r="AB913" s="87"/>
      <c r="AC913" s="90" t="str">
        <f t="shared" si="138"/>
        <v>Distrital</v>
      </c>
      <c r="AD913" s="87" t="s">
        <v>73</v>
      </c>
      <c r="AE913" s="87"/>
      <c r="AF913" s="87"/>
      <c r="AG913" s="87"/>
      <c r="AH913" s="87"/>
      <c r="AI913" s="87"/>
      <c r="AJ913" s="87"/>
      <c r="AK913" s="87"/>
      <c r="AL913" s="87"/>
      <c r="AM913" s="87"/>
      <c r="AN913" s="90" t="s">
        <v>80</v>
      </c>
      <c r="AO913" s="79" t="s">
        <v>3907</v>
      </c>
      <c r="AP913" s="82"/>
      <c r="AQ913" s="87" t="s">
        <v>59</v>
      </c>
      <c r="AR913" s="87" t="s">
        <v>80</v>
      </c>
      <c r="AS913" s="82"/>
      <c r="AT913" s="87">
        <v>2</v>
      </c>
      <c r="AU913" s="87">
        <v>3</v>
      </c>
      <c r="AV913" s="87">
        <f t="shared" si="176"/>
        <v>5</v>
      </c>
      <c r="AW913" s="87" t="s">
        <v>184</v>
      </c>
      <c r="AX913" s="87"/>
      <c r="AY913" s="87"/>
      <c r="AZ913" s="87"/>
      <c r="BA913" s="91" t="s">
        <v>4198</v>
      </c>
      <c r="BB913" s="84"/>
      <c r="BC913" s="85"/>
      <c r="BD913" s="85"/>
    </row>
    <row r="914" spans="1:56" s="86" customFormat="1" ht="66.75" customHeight="1">
      <c r="A914" s="78">
        <v>909</v>
      </c>
      <c r="B914" s="79" t="s">
        <v>1096</v>
      </c>
      <c r="C914" s="88">
        <v>45545</v>
      </c>
      <c r="D914" s="89">
        <v>0.58333333333333337</v>
      </c>
      <c r="E914" s="87" t="s">
        <v>93</v>
      </c>
      <c r="F914" s="87" t="s">
        <v>321</v>
      </c>
      <c r="G914" s="87" t="s">
        <v>62</v>
      </c>
      <c r="H914" s="90" t="s">
        <v>4199</v>
      </c>
      <c r="I914" s="90" t="s">
        <v>118</v>
      </c>
      <c r="J914" s="87" t="s">
        <v>70</v>
      </c>
      <c r="K914" s="87" t="s">
        <v>1810</v>
      </c>
      <c r="L914" s="90" t="s">
        <v>80</v>
      </c>
      <c r="M914" s="91" t="s">
        <v>80</v>
      </c>
      <c r="N914" s="90" t="s">
        <v>80</v>
      </c>
      <c r="O914" s="90" t="str">
        <f>_xlfn.TEXTJOIN(", ",TRUE,$P914:$T914)</f>
        <v>Fontibón</v>
      </c>
      <c r="P914" s="87" t="s">
        <v>420</v>
      </c>
      <c r="Q914" s="87"/>
      <c r="R914" s="87"/>
      <c r="S914" s="87"/>
      <c r="T914" s="87"/>
      <c r="U914" s="87"/>
      <c r="V914" s="90" t="str">
        <f>_xlfn.TEXTJOIN(", ",TRUE,$W914:$AB914)</f>
        <v>Occidente</v>
      </c>
      <c r="W914" s="87" t="s">
        <v>124</v>
      </c>
      <c r="X914" s="87"/>
      <c r="Y914" s="87"/>
      <c r="Z914" s="87"/>
      <c r="AA914" s="87"/>
      <c r="AB914" s="87"/>
      <c r="AC914" s="90" t="str">
        <f>_xlfn.TEXTJOIN(", ",TRUE,$AD914:$AM914)</f>
        <v>Fontibón</v>
      </c>
      <c r="AD914" s="87" t="s">
        <v>420</v>
      </c>
      <c r="AE914" s="87"/>
      <c r="AF914" s="87"/>
      <c r="AG914" s="87"/>
      <c r="AH914" s="87"/>
      <c r="AI914" s="87"/>
      <c r="AJ914" s="87"/>
      <c r="AK914" s="87"/>
      <c r="AL914" s="87"/>
      <c r="AM914" s="87"/>
      <c r="AN914" s="90" t="s">
        <v>80</v>
      </c>
      <c r="AO914" s="79" t="s">
        <v>4200</v>
      </c>
      <c r="AP914" s="82"/>
      <c r="AQ914" s="87" t="s">
        <v>59</v>
      </c>
      <c r="AR914" s="87" t="s">
        <v>80</v>
      </c>
      <c r="AS914" s="82"/>
      <c r="AT914" s="87">
        <v>17</v>
      </c>
      <c r="AU914" s="87">
        <v>1</v>
      </c>
      <c r="AV914" s="87">
        <f>AT914+AU914</f>
        <v>18</v>
      </c>
      <c r="AW914" s="87" t="str">
        <f t="shared" ref="AW914:AW915" si="177">_xlfn.TEXTJOIN(", ",TRUE,$AX914:$AZ914)</f>
        <v>Ninguna</v>
      </c>
      <c r="AX914" s="87" t="s">
        <v>75</v>
      </c>
      <c r="AY914" s="87"/>
      <c r="AZ914" s="87"/>
      <c r="BA914" s="91" t="s">
        <v>4201</v>
      </c>
      <c r="BB914" s="84"/>
      <c r="BC914" s="85"/>
      <c r="BD914" s="85"/>
    </row>
    <row r="915" spans="1:56" s="86" customFormat="1" ht="66.75" customHeight="1">
      <c r="A915" s="87">
        <v>910</v>
      </c>
      <c r="B915" s="79" t="s">
        <v>4202</v>
      </c>
      <c r="C915" s="88">
        <v>45545</v>
      </c>
      <c r="D915" s="89">
        <v>0.58333333333333337</v>
      </c>
      <c r="E915" s="87" t="s">
        <v>58</v>
      </c>
      <c r="F915" s="87" t="s">
        <v>116</v>
      </c>
      <c r="G915" s="87" t="s">
        <v>62</v>
      </c>
      <c r="H915" s="90" t="s">
        <v>4203</v>
      </c>
      <c r="I915" s="90" t="s">
        <v>118</v>
      </c>
      <c r="J915" s="87" t="s">
        <v>119</v>
      </c>
      <c r="K915" s="87"/>
      <c r="L915" s="90" t="s">
        <v>4204</v>
      </c>
      <c r="M915" s="91" t="s">
        <v>4205</v>
      </c>
      <c r="N915" s="90" t="s">
        <v>1317</v>
      </c>
      <c r="O915" s="90" t="str">
        <f t="shared" si="133"/>
        <v>Los Mártires</v>
      </c>
      <c r="P915" s="87" t="s">
        <v>542</v>
      </c>
      <c r="Q915" s="87"/>
      <c r="R915" s="87"/>
      <c r="S915" s="87"/>
      <c r="T915" s="87"/>
      <c r="U915" s="87"/>
      <c r="V915" s="90" t="str">
        <f t="shared" si="137"/>
        <v>Centro Ampliado</v>
      </c>
      <c r="W915" s="87" t="s">
        <v>415</v>
      </c>
      <c r="X915" s="87"/>
      <c r="Y915" s="87"/>
      <c r="Z915" s="87"/>
      <c r="AA915" s="87"/>
      <c r="AB915" s="87"/>
      <c r="AC915" s="90" t="str">
        <f t="shared" si="138"/>
        <v>Centro Histórico</v>
      </c>
      <c r="AD915" s="87" t="s">
        <v>488</v>
      </c>
      <c r="AE915" s="87"/>
      <c r="AF915" s="87"/>
      <c r="AG915" s="87"/>
      <c r="AH915" s="87"/>
      <c r="AI915" s="87"/>
      <c r="AJ915" s="87"/>
      <c r="AK915" s="87"/>
      <c r="AL915" s="87"/>
      <c r="AM915" s="87"/>
      <c r="AN915" s="90" t="s">
        <v>2339</v>
      </c>
      <c r="AO915" s="90" t="s">
        <v>4206</v>
      </c>
      <c r="AP915" s="82"/>
      <c r="AQ915" s="87" t="s">
        <v>59</v>
      </c>
      <c r="AR915" s="87" t="s">
        <v>80</v>
      </c>
      <c r="AS915" s="82"/>
      <c r="AT915" s="87">
        <v>10</v>
      </c>
      <c r="AU915" s="87">
        <v>2</v>
      </c>
      <c r="AV915" s="87">
        <f t="shared" ref="AV915" si="178">AT915+AU915</f>
        <v>12</v>
      </c>
      <c r="AW915" s="87" t="str">
        <f t="shared" si="177"/>
        <v>Accesibilidad Universal, Horarios Acordes, Contenidos adaptados</v>
      </c>
      <c r="AX915" s="87" t="s">
        <v>246</v>
      </c>
      <c r="AY915" s="87" t="s">
        <v>213</v>
      </c>
      <c r="AZ915" s="87" t="s">
        <v>212</v>
      </c>
      <c r="BA915" s="91" t="s">
        <v>4207</v>
      </c>
      <c r="BB915" s="84"/>
      <c r="BC915" s="85"/>
      <c r="BD915" s="85"/>
    </row>
    <row r="916" spans="1:56" s="86" customFormat="1" ht="66.75" customHeight="1">
      <c r="A916" s="78">
        <v>911</v>
      </c>
      <c r="B916" s="79" t="s">
        <v>4208</v>
      </c>
      <c r="C916" s="88">
        <v>45545</v>
      </c>
      <c r="D916" s="89">
        <v>0.58333333333333337</v>
      </c>
      <c r="E916" s="87" t="s">
        <v>58</v>
      </c>
      <c r="F916" s="87" t="s">
        <v>1437</v>
      </c>
      <c r="G916" s="87" t="s">
        <v>62</v>
      </c>
      <c r="H916" s="90" t="s">
        <v>4209</v>
      </c>
      <c r="I916" s="90" t="s">
        <v>118</v>
      </c>
      <c r="J916" s="87" t="s">
        <v>816</v>
      </c>
      <c r="K916" s="87"/>
      <c r="L916" s="130" t="s">
        <v>72</v>
      </c>
      <c r="M916" s="130" t="s">
        <v>72</v>
      </c>
      <c r="N916" s="130" t="s">
        <v>72</v>
      </c>
      <c r="O916" s="90" t="str">
        <f>_xlfn.TEXTJOIN(", ",TRUE,$P916:$T916)</f>
        <v>Tunjuelito</v>
      </c>
      <c r="P916" s="87" t="s">
        <v>618</v>
      </c>
      <c r="Q916" s="87"/>
      <c r="R916" s="87"/>
      <c r="S916" s="87"/>
      <c r="T916" s="87"/>
      <c r="U916" s="87"/>
      <c r="V916" s="90" t="str">
        <f>_xlfn.TEXTJOIN(", ",TRUE,$W916:$AB916)</f>
        <v>Suroriente</v>
      </c>
      <c r="W916" s="87" t="s">
        <v>108</v>
      </c>
      <c r="X916" s="87"/>
      <c r="Y916" s="87"/>
      <c r="Z916" s="87"/>
      <c r="AA916" s="87"/>
      <c r="AB916" s="87"/>
      <c r="AC916" s="90" t="str">
        <f>_xlfn.TEXTJOIN(", ",TRUE,$AD916:$AM916)</f>
        <v>Tunjuelito</v>
      </c>
      <c r="AD916" s="87" t="s">
        <v>618</v>
      </c>
      <c r="AE916" s="87"/>
      <c r="AF916" s="87"/>
      <c r="AG916" s="87"/>
      <c r="AH916" s="87"/>
      <c r="AI916" s="87"/>
      <c r="AJ916" s="87"/>
      <c r="AK916" s="87"/>
      <c r="AL916" s="87"/>
      <c r="AM916" s="87"/>
      <c r="AN916" s="90" t="s">
        <v>80</v>
      </c>
      <c r="AO916" s="79" t="s">
        <v>4212</v>
      </c>
      <c r="AP916" s="82"/>
      <c r="AQ916" s="87" t="s">
        <v>59</v>
      </c>
      <c r="AR916" s="87" t="s">
        <v>80</v>
      </c>
      <c r="AS916" s="82"/>
      <c r="AT916" s="87">
        <v>0</v>
      </c>
      <c r="AU916" s="87"/>
      <c r="AV916" s="87">
        <f>AT916+AU916</f>
        <v>0</v>
      </c>
      <c r="AW916" s="87" t="s">
        <v>184</v>
      </c>
      <c r="AX916" s="87"/>
      <c r="AY916" s="87"/>
      <c r="AZ916" s="87"/>
      <c r="BA916" s="91"/>
      <c r="BB916" s="84"/>
      <c r="BC916" s="85"/>
      <c r="BD916" s="85"/>
    </row>
    <row r="917" spans="1:56" s="86" customFormat="1" ht="66.75" customHeight="1">
      <c r="A917" s="87">
        <v>912</v>
      </c>
      <c r="B917" s="79" t="s">
        <v>4213</v>
      </c>
      <c r="C917" s="88">
        <v>45545</v>
      </c>
      <c r="D917" s="89">
        <v>0.58333333333333337</v>
      </c>
      <c r="E917" s="87" t="s">
        <v>58</v>
      </c>
      <c r="F917" s="87" t="s">
        <v>1437</v>
      </c>
      <c r="G917" s="87" t="s">
        <v>62</v>
      </c>
      <c r="H917" s="90" t="s">
        <v>4214</v>
      </c>
      <c r="I917" s="90" t="s">
        <v>118</v>
      </c>
      <c r="J917" s="87" t="s">
        <v>816</v>
      </c>
      <c r="K917" s="87"/>
      <c r="L917" s="130" t="s">
        <v>72</v>
      </c>
      <c r="M917" s="130" t="s">
        <v>72</v>
      </c>
      <c r="N917" s="130" t="s">
        <v>72</v>
      </c>
      <c r="O917" s="90" t="str">
        <f>_xlfn.TEXTJOIN(", ",TRUE,$P917:$T917)</f>
        <v>Usme</v>
      </c>
      <c r="P917" s="87" t="s">
        <v>670</v>
      </c>
      <c r="Q917" s="87"/>
      <c r="R917" s="87"/>
      <c r="S917" s="87"/>
      <c r="T917" s="87"/>
      <c r="U917" s="87"/>
      <c r="V917" s="90" t="str">
        <f>_xlfn.TEXTJOIN(", ",TRUE,$W917:$AB917)</f>
        <v>Suroriente</v>
      </c>
      <c r="W917" s="87" t="s">
        <v>108</v>
      </c>
      <c r="X917" s="87"/>
      <c r="Y917" s="87"/>
      <c r="Z917" s="87"/>
      <c r="AA917" s="87"/>
      <c r="AB917" s="87"/>
      <c r="AC917" s="90" t="str">
        <f>_xlfn.TEXTJOIN(", ",TRUE,$AD917:$AM917)</f>
        <v>Usme Entrenubes</v>
      </c>
      <c r="AD917" s="87" t="s">
        <v>671</v>
      </c>
      <c r="AE917" s="87"/>
      <c r="AF917" s="87"/>
      <c r="AG917" s="87"/>
      <c r="AH917" s="87"/>
      <c r="AI917" s="87"/>
      <c r="AJ917" s="87"/>
      <c r="AK917" s="87"/>
      <c r="AL917" s="87"/>
      <c r="AM917" s="87"/>
      <c r="AN917" s="90" t="s">
        <v>80</v>
      </c>
      <c r="AO917" s="79" t="s">
        <v>4215</v>
      </c>
      <c r="AP917" s="82"/>
      <c r="AQ917" s="87" t="s">
        <v>59</v>
      </c>
      <c r="AR917" s="87" t="s">
        <v>80</v>
      </c>
      <c r="AS917" s="82"/>
      <c r="AT917" s="87">
        <v>0</v>
      </c>
      <c r="AU917" s="87"/>
      <c r="AV917" s="87">
        <f>AT917+AU917</f>
        <v>0</v>
      </c>
      <c r="AW917" s="87" t="s">
        <v>184</v>
      </c>
      <c r="AX917" s="87"/>
      <c r="AY917" s="87"/>
      <c r="AZ917" s="87"/>
      <c r="BA917" s="91"/>
      <c r="BB917" s="84"/>
      <c r="BC917" s="85"/>
      <c r="BD917" s="85"/>
    </row>
    <row r="918" spans="1:56" s="86" customFormat="1" ht="66.75" customHeight="1">
      <c r="A918" s="78">
        <v>913</v>
      </c>
      <c r="B918" s="79" t="s">
        <v>2568</v>
      </c>
      <c r="C918" s="88">
        <v>45545</v>
      </c>
      <c r="D918" s="89">
        <v>0.625</v>
      </c>
      <c r="E918" s="87" t="s">
        <v>93</v>
      </c>
      <c r="F918" s="87" t="s">
        <v>321</v>
      </c>
      <c r="G918" s="87" t="s">
        <v>62</v>
      </c>
      <c r="H918" s="90" t="s">
        <v>2569</v>
      </c>
      <c r="I918" s="90" t="s">
        <v>118</v>
      </c>
      <c r="J918" s="87" t="s">
        <v>70</v>
      </c>
      <c r="K918" s="87" t="s">
        <v>1810</v>
      </c>
      <c r="L918" s="90" t="s">
        <v>1317</v>
      </c>
      <c r="M918" s="91" t="s">
        <v>1317</v>
      </c>
      <c r="N918" s="90" t="s">
        <v>1317</v>
      </c>
      <c r="O918" s="90" t="str">
        <f>_xlfn.TEXTJOIN(", ",TRUE,$P918:$T918)</f>
        <v>Chapinero</v>
      </c>
      <c r="P918" s="87" t="s">
        <v>221</v>
      </c>
      <c r="Q918" s="87"/>
      <c r="R918" s="87"/>
      <c r="S918" s="87"/>
      <c r="T918" s="87"/>
      <c r="U918" s="87"/>
      <c r="V918" s="90" t="str">
        <f>_xlfn.TEXTJOIN(", ",TRUE,$W918:$AB918)</f>
        <v>Centro Ampliado</v>
      </c>
      <c r="W918" s="87" t="s">
        <v>415</v>
      </c>
      <c r="X918" s="87"/>
      <c r="Y918" s="87"/>
      <c r="Z918" s="87"/>
      <c r="AA918" s="87"/>
      <c r="AB918" s="87"/>
      <c r="AC918" s="90" t="str">
        <f>_xlfn.TEXTJOIN(", ",TRUE,$AD918:$AM918)</f>
        <v>Chapinero</v>
      </c>
      <c r="AD918" s="87" t="s">
        <v>221</v>
      </c>
      <c r="AE918" s="87"/>
      <c r="AF918" s="87"/>
      <c r="AG918" s="87"/>
      <c r="AH918" s="87"/>
      <c r="AI918" s="87"/>
      <c r="AJ918" s="87"/>
      <c r="AK918" s="87"/>
      <c r="AL918" s="87"/>
      <c r="AM918" s="87"/>
      <c r="AN918" s="90" t="s">
        <v>80</v>
      </c>
      <c r="AO918" s="90" t="s">
        <v>4216</v>
      </c>
      <c r="AP918" s="82"/>
      <c r="AQ918" s="87" t="s">
        <v>59</v>
      </c>
      <c r="AR918" s="87" t="s">
        <v>80</v>
      </c>
      <c r="AS918" s="82"/>
      <c r="AT918" s="87">
        <v>16</v>
      </c>
      <c r="AU918" s="87">
        <v>1</v>
      </c>
      <c r="AV918" s="87">
        <f t="shared" ref="AV918" si="179">AT918+AU918</f>
        <v>17</v>
      </c>
      <c r="AW918" s="87" t="str">
        <f>_xlfn.TEXTJOIN(", ",TRUE,$AX918:$AZ918)</f>
        <v>Ninguna</v>
      </c>
      <c r="AX918" s="87" t="s">
        <v>75</v>
      </c>
      <c r="AY918" s="87"/>
      <c r="AZ918" s="87"/>
      <c r="BA918" s="91" t="s">
        <v>4217</v>
      </c>
      <c r="BB918" s="84"/>
      <c r="BC918" s="85"/>
      <c r="BD918" s="85"/>
    </row>
    <row r="919" spans="1:56" s="86" customFormat="1" ht="57" customHeight="1">
      <c r="A919" s="87">
        <v>914</v>
      </c>
      <c r="B919" s="79" t="s">
        <v>4218</v>
      </c>
      <c r="C919" s="132">
        <v>45546</v>
      </c>
      <c r="D919" s="133">
        <v>0.33333333333333331</v>
      </c>
      <c r="E919" s="134" t="s">
        <v>58</v>
      </c>
      <c r="F919" s="134" t="s">
        <v>1437</v>
      </c>
      <c r="G919" s="134" t="s">
        <v>62</v>
      </c>
      <c r="H919" s="94" t="s">
        <v>4219</v>
      </c>
      <c r="I919" s="94" t="s">
        <v>118</v>
      </c>
      <c r="J919" s="134" t="s">
        <v>816</v>
      </c>
      <c r="K919" s="134"/>
      <c r="L919" s="94" t="s">
        <v>80</v>
      </c>
      <c r="M919" s="135" t="s">
        <v>80</v>
      </c>
      <c r="N919" s="94" t="s">
        <v>80</v>
      </c>
      <c r="O919" s="94" t="str">
        <f>_xlfn.TEXTJOIN(", ",TRUE,$P919:$T919)</f>
        <v>Barrios Unidos</v>
      </c>
      <c r="P919" s="134" t="s">
        <v>686</v>
      </c>
      <c r="Q919" s="134"/>
      <c r="R919" s="134"/>
      <c r="S919" s="134"/>
      <c r="T919" s="134"/>
      <c r="U919" s="134"/>
      <c r="V919" s="94" t="str">
        <f>_xlfn.TEXTJOIN(", ",TRUE,$W919:$AB919)</f>
        <v>Centro Ampliado</v>
      </c>
      <c r="W919" s="134" t="s">
        <v>415</v>
      </c>
      <c r="X919" s="134"/>
      <c r="Y919" s="134"/>
      <c r="Z919" s="134"/>
      <c r="AA919" s="134"/>
      <c r="AB919" s="134"/>
      <c r="AC919" s="94" t="str">
        <f>_xlfn.TEXTJOIN(", ",TRUE,$AD919:$AM919)</f>
        <v>Barrios Unidos</v>
      </c>
      <c r="AD919" s="134" t="s">
        <v>686</v>
      </c>
      <c r="AE919" s="134"/>
      <c r="AF919" s="134"/>
      <c r="AG919" s="134"/>
      <c r="AH919" s="134"/>
      <c r="AI919" s="134"/>
      <c r="AJ919" s="134"/>
      <c r="AK919" s="134"/>
      <c r="AL919" s="134"/>
      <c r="AM919" s="134"/>
      <c r="AN919" s="94" t="s">
        <v>80</v>
      </c>
      <c r="AO919" s="63" t="s">
        <v>4220</v>
      </c>
      <c r="AP919" s="84"/>
      <c r="AQ919" s="134" t="s">
        <v>59</v>
      </c>
      <c r="AR919" s="134" t="s">
        <v>80</v>
      </c>
      <c r="AS919" s="84"/>
      <c r="AT919" s="134">
        <v>0</v>
      </c>
      <c r="AU919" s="134"/>
      <c r="AV919" s="134">
        <f>AT919+AU919</f>
        <v>0</v>
      </c>
      <c r="AW919" s="87" t="str">
        <f>_xlfn.TEXTJOIN(", ",TRUE,$AX919:$AZ919)</f>
        <v/>
      </c>
      <c r="AX919" s="134"/>
      <c r="AY919" s="134"/>
      <c r="AZ919" s="136"/>
      <c r="BA919" s="119"/>
      <c r="BB919" s="84"/>
      <c r="BC919" s="85"/>
      <c r="BD919" s="85"/>
    </row>
    <row r="920" spans="1:56" s="86" customFormat="1" ht="57" customHeight="1">
      <c r="A920" s="78">
        <v>915</v>
      </c>
      <c r="B920" s="79" t="s">
        <v>661</v>
      </c>
      <c r="C920" s="88">
        <v>45546</v>
      </c>
      <c r="D920" s="89">
        <v>0.35416666666666669</v>
      </c>
      <c r="E920" s="87" t="s">
        <v>93</v>
      </c>
      <c r="F920" s="87" t="s">
        <v>321</v>
      </c>
      <c r="G920" s="87" t="s">
        <v>62</v>
      </c>
      <c r="H920" s="90" t="s">
        <v>4221</v>
      </c>
      <c r="I920" s="90" t="s">
        <v>118</v>
      </c>
      <c r="J920" s="87" t="s">
        <v>70</v>
      </c>
      <c r="K920" s="87" t="s">
        <v>1810</v>
      </c>
      <c r="L920" s="90" t="s">
        <v>4222</v>
      </c>
      <c r="M920" s="91" t="s">
        <v>3396</v>
      </c>
      <c r="N920" s="90" t="s">
        <v>1335</v>
      </c>
      <c r="O920" s="90" t="str">
        <f t="shared" si="133"/>
        <v>Teusaquillo</v>
      </c>
      <c r="P920" s="87" t="s">
        <v>665</v>
      </c>
      <c r="Q920" s="87"/>
      <c r="R920" s="87"/>
      <c r="S920" s="87"/>
      <c r="T920" s="87"/>
      <c r="U920" s="87"/>
      <c r="V920" s="90" t="str">
        <f t="shared" si="137"/>
        <v>Centro Ampliado</v>
      </c>
      <c r="W920" s="87" t="s">
        <v>415</v>
      </c>
      <c r="X920" s="87"/>
      <c r="Y920" s="87"/>
      <c r="Z920" s="87"/>
      <c r="AA920" s="87"/>
      <c r="AB920" s="87"/>
      <c r="AC920" s="90" t="str">
        <f t="shared" si="138"/>
        <v>Teusaquillo</v>
      </c>
      <c r="AD920" s="87" t="s">
        <v>665</v>
      </c>
      <c r="AE920" s="87"/>
      <c r="AF920" s="87"/>
      <c r="AG920" s="87"/>
      <c r="AH920" s="87"/>
      <c r="AI920" s="87"/>
      <c r="AJ920" s="87"/>
      <c r="AK920" s="87"/>
      <c r="AL920" s="87"/>
      <c r="AM920" s="87"/>
      <c r="AN920" s="90" t="s">
        <v>4223</v>
      </c>
      <c r="AO920" s="90" t="s">
        <v>4224</v>
      </c>
      <c r="AP920" s="82"/>
      <c r="AQ920" s="87" t="s">
        <v>59</v>
      </c>
      <c r="AR920" s="87" t="s">
        <v>80</v>
      </c>
      <c r="AS920" s="82"/>
      <c r="AT920" s="87">
        <v>13</v>
      </c>
      <c r="AU920" s="87">
        <v>1</v>
      </c>
      <c r="AV920" s="87">
        <f t="shared" ref="AV920:AV921" si="180">AT920+AU920</f>
        <v>14</v>
      </c>
      <c r="AW920" s="87" t="str">
        <f t="shared" si="54"/>
        <v>Ninguna</v>
      </c>
      <c r="AX920" s="87" t="s">
        <v>75</v>
      </c>
      <c r="AY920" s="87"/>
      <c r="AZ920" s="87"/>
      <c r="BA920" s="91" t="s">
        <v>4225</v>
      </c>
      <c r="BB920" s="84"/>
      <c r="BC920" s="85"/>
      <c r="BD920" s="85"/>
    </row>
    <row r="921" spans="1:56" s="86" customFormat="1" ht="57" customHeight="1">
      <c r="A921" s="87">
        <v>916</v>
      </c>
      <c r="B921" s="79" t="s">
        <v>4226</v>
      </c>
      <c r="C921" s="88">
        <v>45546</v>
      </c>
      <c r="D921" s="89">
        <v>0.375</v>
      </c>
      <c r="E921" s="87" t="s">
        <v>58</v>
      </c>
      <c r="F921" s="87" t="s">
        <v>149</v>
      </c>
      <c r="G921" s="87" t="s">
        <v>62</v>
      </c>
      <c r="H921" s="90" t="s">
        <v>4227</v>
      </c>
      <c r="I921" s="90" t="s">
        <v>118</v>
      </c>
      <c r="J921" s="87" t="s">
        <v>70</v>
      </c>
      <c r="K921" s="87" t="s">
        <v>71</v>
      </c>
      <c r="L921" s="87" t="s">
        <v>4228</v>
      </c>
      <c r="M921" s="130" t="s">
        <v>72</v>
      </c>
      <c r="N921" s="87" t="s">
        <v>4229</v>
      </c>
      <c r="O921" s="90" t="str">
        <f t="shared" si="133"/>
        <v>Puente Aranda</v>
      </c>
      <c r="P921" s="87" t="s">
        <v>823</v>
      </c>
      <c r="Q921" s="87"/>
      <c r="R921" s="87"/>
      <c r="S921" s="87"/>
      <c r="T921" s="87"/>
      <c r="U921" s="87"/>
      <c r="V921" s="90" t="str">
        <f t="shared" si="137"/>
        <v>Centro Ampliado</v>
      </c>
      <c r="W921" s="87" t="s">
        <v>415</v>
      </c>
      <c r="X921" s="87"/>
      <c r="Y921" s="87"/>
      <c r="Z921" s="87"/>
      <c r="AA921" s="87"/>
      <c r="AB921" s="87"/>
      <c r="AC921" s="90" t="str">
        <f t="shared" si="138"/>
        <v>Puente Aranda</v>
      </c>
      <c r="AD921" s="87" t="s">
        <v>823</v>
      </c>
      <c r="AE921" s="87"/>
      <c r="AF921" s="87"/>
      <c r="AG921" s="87"/>
      <c r="AH921" s="87"/>
      <c r="AI921" s="87"/>
      <c r="AJ921" s="87"/>
      <c r="AK921" s="87"/>
      <c r="AL921" s="87"/>
      <c r="AM921" s="87"/>
      <c r="AN921" s="90" t="s">
        <v>72</v>
      </c>
      <c r="AO921" s="90" t="s">
        <v>4230</v>
      </c>
      <c r="AP921" s="82"/>
      <c r="AQ921" s="87" t="s">
        <v>59</v>
      </c>
      <c r="AR921" s="87" t="s">
        <v>80</v>
      </c>
      <c r="AS921" s="82"/>
      <c r="AT921" s="87">
        <v>33</v>
      </c>
      <c r="AU921" s="87">
        <v>1</v>
      </c>
      <c r="AV921" s="87">
        <f t="shared" si="180"/>
        <v>34</v>
      </c>
      <c r="AW921" s="87" t="str">
        <f t="shared" si="54"/>
        <v>Horarios Acordes, Accesibilidad Universal</v>
      </c>
      <c r="AX921" s="87" t="s">
        <v>213</v>
      </c>
      <c r="AY921" s="87" t="s">
        <v>246</v>
      </c>
      <c r="AZ921" s="87"/>
      <c r="BA921" s="91" t="s">
        <v>4231</v>
      </c>
      <c r="BB921" s="84"/>
      <c r="BC921" s="85"/>
      <c r="BD921" s="85"/>
    </row>
    <row r="922" spans="1:56" s="86" customFormat="1" ht="66.75" customHeight="1">
      <c r="A922" s="78">
        <v>917</v>
      </c>
      <c r="B922" s="79" t="s">
        <v>330</v>
      </c>
      <c r="C922" s="88">
        <v>45546</v>
      </c>
      <c r="D922" s="89">
        <v>0.58333333333333337</v>
      </c>
      <c r="E922" s="87" t="s">
        <v>93</v>
      </c>
      <c r="F922" s="87" t="s">
        <v>321</v>
      </c>
      <c r="G922" s="87" t="s">
        <v>62</v>
      </c>
      <c r="H922" s="90" t="s">
        <v>4232</v>
      </c>
      <c r="I922" s="90" t="s">
        <v>118</v>
      </c>
      <c r="J922" s="87" t="s">
        <v>70</v>
      </c>
      <c r="K922" s="87" t="s">
        <v>1810</v>
      </c>
      <c r="L922" s="130" t="s">
        <v>4233</v>
      </c>
      <c r="M922" s="130" t="s">
        <v>3425</v>
      </c>
      <c r="N922" s="130" t="s">
        <v>4234</v>
      </c>
      <c r="O922" s="90" t="str">
        <f>_xlfn.TEXTJOIN(", ",TRUE,$P922:$T922)</f>
        <v>Ciudad Bolívar</v>
      </c>
      <c r="P922" s="87" t="s">
        <v>107</v>
      </c>
      <c r="Q922" s="87"/>
      <c r="R922" s="87"/>
      <c r="S922" s="87"/>
      <c r="T922" s="87"/>
      <c r="U922" s="87"/>
      <c r="V922" s="90" t="str">
        <f>_xlfn.TEXTJOIN(", ",TRUE,$W922:$AB922)</f>
        <v>Suroriente, Ruralidad</v>
      </c>
      <c r="W922" s="87" t="s">
        <v>108</v>
      </c>
      <c r="X922" s="87" t="s">
        <v>109</v>
      </c>
      <c r="Y922" s="87"/>
      <c r="Z922" s="87"/>
      <c r="AA922" s="87"/>
      <c r="AB922" s="87"/>
      <c r="AC922" s="90" t="str">
        <f>_xlfn.TEXTJOIN(", ",TRUE,$AD922:$AM922)</f>
        <v>Arborizadora, Lucero</v>
      </c>
      <c r="AD922" s="87" t="s">
        <v>110</v>
      </c>
      <c r="AE922" s="87" t="s">
        <v>111</v>
      </c>
      <c r="AF922" s="87"/>
      <c r="AG922" s="87"/>
      <c r="AH922" s="87"/>
      <c r="AI922" s="87"/>
      <c r="AJ922" s="87"/>
      <c r="AK922" s="87"/>
      <c r="AL922" s="87"/>
      <c r="AM922" s="87"/>
      <c r="AN922" s="90" t="s">
        <v>1875</v>
      </c>
      <c r="AO922" s="124" t="s">
        <v>4235</v>
      </c>
      <c r="AP922" s="82"/>
      <c r="AQ922" s="87" t="s">
        <v>59</v>
      </c>
      <c r="AR922" s="87" t="s">
        <v>80</v>
      </c>
      <c r="AS922" s="82"/>
      <c r="AT922" s="87">
        <v>12</v>
      </c>
      <c r="AU922" s="87">
        <v>1</v>
      </c>
      <c r="AV922" s="87">
        <f t="shared" ref="AV922" si="181">AT922+AU922</f>
        <v>13</v>
      </c>
      <c r="AW922" s="87" t="str">
        <f t="shared" ref="AW922" si="182">_xlfn.TEXTJOIN(", ",TRUE,$AX922:$AZ922)</f>
        <v>Ninguna</v>
      </c>
      <c r="AX922" s="87" t="s">
        <v>75</v>
      </c>
      <c r="AY922" s="87"/>
      <c r="AZ922" s="87"/>
      <c r="BA922" s="91" t="s">
        <v>4236</v>
      </c>
      <c r="BB922" s="84"/>
      <c r="BC922" s="85"/>
      <c r="BD922" s="85"/>
    </row>
    <row r="923" spans="1:56" s="86" customFormat="1" ht="66.75" customHeight="1">
      <c r="A923" s="87">
        <v>918</v>
      </c>
      <c r="B923" s="79" t="s">
        <v>4237</v>
      </c>
      <c r="C923" s="88">
        <v>45546</v>
      </c>
      <c r="D923" s="89">
        <v>0.58333333333333337</v>
      </c>
      <c r="E923" s="87" t="s">
        <v>58</v>
      </c>
      <c r="F923" s="87" t="s">
        <v>149</v>
      </c>
      <c r="G923" s="87" t="s">
        <v>62</v>
      </c>
      <c r="H923" s="90" t="s">
        <v>4238</v>
      </c>
      <c r="I923" s="90" t="s">
        <v>172</v>
      </c>
      <c r="J923" s="87" t="s">
        <v>173</v>
      </c>
      <c r="K923" s="87"/>
      <c r="L923" s="90" t="s">
        <v>4239</v>
      </c>
      <c r="M923" s="91" t="s">
        <v>1317</v>
      </c>
      <c r="N923" s="90" t="s">
        <v>4240</v>
      </c>
      <c r="O923" s="90" t="str">
        <f t="shared" si="133"/>
        <v>San Cristóbal</v>
      </c>
      <c r="P923" s="87" t="s">
        <v>370</v>
      </c>
      <c r="Q923" s="87"/>
      <c r="R923" s="87"/>
      <c r="S923" s="87"/>
      <c r="T923" s="87"/>
      <c r="U923" s="87"/>
      <c r="V923" s="90" t="str">
        <f t="shared" si="137"/>
        <v>Suroriente</v>
      </c>
      <c r="W923" s="87" t="s">
        <v>108</v>
      </c>
      <c r="X923" s="87"/>
      <c r="Y923" s="87"/>
      <c r="Z923" s="87"/>
      <c r="AA923" s="87"/>
      <c r="AB923" s="87"/>
      <c r="AC923" s="90" t="str">
        <f t="shared" si="138"/>
        <v>San Cristobal</v>
      </c>
      <c r="AD923" s="87" t="s">
        <v>371</v>
      </c>
      <c r="AE923" s="87"/>
      <c r="AF923" s="87"/>
      <c r="AG923" s="87"/>
      <c r="AH923" s="87"/>
      <c r="AI923" s="87"/>
      <c r="AJ923" s="87"/>
      <c r="AK923" s="87"/>
      <c r="AL923" s="87"/>
      <c r="AM923" s="87"/>
      <c r="AN923" s="90" t="s">
        <v>370</v>
      </c>
      <c r="AO923" s="90" t="s">
        <v>4241</v>
      </c>
      <c r="AP923" s="82"/>
      <c r="AQ923" s="87" t="s">
        <v>59</v>
      </c>
      <c r="AR923" s="87" t="s">
        <v>80</v>
      </c>
      <c r="AS923" s="82"/>
      <c r="AT923" s="87">
        <v>3</v>
      </c>
      <c r="AU923" s="87">
        <v>2</v>
      </c>
      <c r="AV923" s="87">
        <f t="shared" ref="AV923" si="183">AT923+AU923</f>
        <v>5</v>
      </c>
      <c r="AW923" s="87" t="str">
        <f t="shared" si="54"/>
        <v>Horarios Acordes</v>
      </c>
      <c r="AX923" s="87" t="s">
        <v>213</v>
      </c>
      <c r="AY923" s="87"/>
      <c r="AZ923" s="87"/>
      <c r="BA923" s="91" t="s">
        <v>4242</v>
      </c>
      <c r="BB923" s="84"/>
      <c r="BC923" s="85"/>
      <c r="BD923" s="85"/>
    </row>
    <row r="924" spans="1:56" s="86" customFormat="1" ht="57" customHeight="1">
      <c r="A924" s="78">
        <v>919</v>
      </c>
      <c r="B924" s="79" t="s">
        <v>4243</v>
      </c>
      <c r="C924" s="132">
        <v>45546</v>
      </c>
      <c r="D924" s="133">
        <v>0.58333333333333337</v>
      </c>
      <c r="E924" s="134" t="s">
        <v>58</v>
      </c>
      <c r="F924" s="134" t="s">
        <v>1437</v>
      </c>
      <c r="G924" s="134" t="s">
        <v>62</v>
      </c>
      <c r="H924" s="94" t="s">
        <v>4244</v>
      </c>
      <c r="I924" s="94" t="s">
        <v>118</v>
      </c>
      <c r="J924" s="134" t="s">
        <v>816</v>
      </c>
      <c r="K924" s="134"/>
      <c r="L924" s="87" t="s">
        <v>3042</v>
      </c>
      <c r="M924" s="87" t="s">
        <v>3042</v>
      </c>
      <c r="N924" s="87" t="s">
        <v>3042</v>
      </c>
      <c r="O924" s="94" t="str">
        <f>_xlfn.TEXTJOIN(", ",TRUE,$P924:$T924)</f>
        <v>Fontibón</v>
      </c>
      <c r="P924" s="134" t="s">
        <v>420</v>
      </c>
      <c r="Q924" s="134"/>
      <c r="R924" s="134"/>
      <c r="S924" s="134"/>
      <c r="T924" s="134"/>
      <c r="U924" s="134"/>
      <c r="V924" s="94" t="str">
        <f>_xlfn.TEXTJOIN(", ",TRUE,$W924:$AB924)</f>
        <v>Occidente</v>
      </c>
      <c r="W924" s="134" t="s">
        <v>124</v>
      </c>
      <c r="X924" s="134"/>
      <c r="Y924" s="134"/>
      <c r="Z924" s="134"/>
      <c r="AA924" s="134"/>
      <c r="AB924" s="134"/>
      <c r="AC924" s="94" t="str">
        <f>_xlfn.TEXTJOIN(", ",TRUE,$AD924:$AM924)</f>
        <v>Fontibón</v>
      </c>
      <c r="AD924" s="134" t="s">
        <v>420</v>
      </c>
      <c r="AE924" s="134"/>
      <c r="AF924" s="134"/>
      <c r="AG924" s="134"/>
      <c r="AH924" s="134"/>
      <c r="AI924" s="134"/>
      <c r="AJ924" s="134"/>
      <c r="AK924" s="134"/>
      <c r="AL924" s="134"/>
      <c r="AM924" s="134"/>
      <c r="AN924" s="94" t="s">
        <v>80</v>
      </c>
      <c r="AO924" s="63" t="s">
        <v>4246</v>
      </c>
      <c r="AP924" s="84"/>
      <c r="AQ924" s="134" t="s">
        <v>59</v>
      </c>
      <c r="AR924" s="134" t="s">
        <v>80</v>
      </c>
      <c r="AS924" s="84"/>
      <c r="AT924" s="134">
        <v>0</v>
      </c>
      <c r="AU924" s="134"/>
      <c r="AV924" s="134">
        <f t="shared" ref="AV924:AV931" si="184">AT924+AU924</f>
        <v>0</v>
      </c>
      <c r="AW924" s="87" t="str">
        <f>_xlfn.TEXTJOIN(", ",TRUE,$AX924:$AZ924)</f>
        <v/>
      </c>
      <c r="AX924" s="134"/>
      <c r="AY924" s="134"/>
      <c r="AZ924" s="136"/>
      <c r="BA924" s="119"/>
      <c r="BB924" s="84"/>
      <c r="BC924" s="85"/>
      <c r="BD924" s="85"/>
    </row>
    <row r="925" spans="1:56" s="86" customFormat="1" ht="57" customHeight="1">
      <c r="A925" s="87">
        <v>920</v>
      </c>
      <c r="B925" s="79" t="s">
        <v>4247</v>
      </c>
      <c r="C925" s="88">
        <v>45546</v>
      </c>
      <c r="D925" s="89">
        <v>0.625</v>
      </c>
      <c r="E925" s="87" t="s">
        <v>58</v>
      </c>
      <c r="F925" s="87" t="s">
        <v>2227</v>
      </c>
      <c r="G925" s="87" t="s">
        <v>62</v>
      </c>
      <c r="H925" s="90" t="s">
        <v>4248</v>
      </c>
      <c r="I925" s="90" t="s">
        <v>118</v>
      </c>
      <c r="J925" s="87" t="s">
        <v>70</v>
      </c>
      <c r="K925" s="87" t="s">
        <v>71</v>
      </c>
      <c r="L925" s="87" t="s">
        <v>4249</v>
      </c>
      <c r="M925" s="87" t="s">
        <v>4250</v>
      </c>
      <c r="N925" s="87" t="s">
        <v>3042</v>
      </c>
      <c r="O925" s="90" t="str">
        <f>_xlfn.TEXTJOIN(", ",TRUE,$P925:$T925)</f>
        <v>Suba</v>
      </c>
      <c r="P925" s="87" t="s">
        <v>394</v>
      </c>
      <c r="Q925" s="87"/>
      <c r="R925" s="87"/>
      <c r="S925" s="87"/>
      <c r="T925" s="87"/>
      <c r="U925" s="87"/>
      <c r="V925" s="90" t="str">
        <f>_xlfn.TEXTJOIN(", ",TRUE,$W925:$AB925)</f>
        <v>Noroccidente</v>
      </c>
      <c r="W925" s="87" t="s">
        <v>395</v>
      </c>
      <c r="X925" s="87"/>
      <c r="Y925" s="87"/>
      <c r="Z925" s="87"/>
      <c r="AA925" s="87"/>
      <c r="AB925" s="87"/>
      <c r="AC925" s="90" t="str">
        <f>_xlfn.TEXTJOIN(", ",TRUE,$AD925:$AM925)</f>
        <v>Suba</v>
      </c>
      <c r="AD925" s="87" t="s">
        <v>394</v>
      </c>
      <c r="AE925" s="87"/>
      <c r="AF925" s="87"/>
      <c r="AG925" s="87"/>
      <c r="AH925" s="87"/>
      <c r="AI925" s="87"/>
      <c r="AJ925" s="87"/>
      <c r="AK925" s="87"/>
      <c r="AL925" s="87"/>
      <c r="AM925" s="87"/>
      <c r="AN925" s="90" t="s">
        <v>72</v>
      </c>
      <c r="AO925" s="90" t="s">
        <v>4251</v>
      </c>
      <c r="AP925" s="82"/>
      <c r="AQ925" s="134" t="s">
        <v>59</v>
      </c>
      <c r="AR925" s="134" t="s">
        <v>80</v>
      </c>
      <c r="AS925" s="82"/>
      <c r="AT925" s="87">
        <v>3</v>
      </c>
      <c r="AU925" s="87">
        <v>3</v>
      </c>
      <c r="AV925" s="87">
        <f>AT925+AU925</f>
        <v>6</v>
      </c>
      <c r="AW925" s="87" t="str">
        <f>_xlfn.TEXTJOIN(", ",TRUE,$AX925:$AZ925)</f>
        <v>Horarios Acordes</v>
      </c>
      <c r="AX925" s="87" t="s">
        <v>213</v>
      </c>
      <c r="AY925" s="87"/>
      <c r="AZ925" s="87"/>
      <c r="BA925" s="91" t="s">
        <v>4252</v>
      </c>
      <c r="BB925" s="84"/>
      <c r="BC925" s="85"/>
      <c r="BD925" s="85"/>
    </row>
    <row r="926" spans="1:56" s="86" customFormat="1" ht="57" customHeight="1">
      <c r="A926" s="78">
        <v>921</v>
      </c>
      <c r="B926" s="79" t="s">
        <v>4253</v>
      </c>
      <c r="C926" s="88">
        <v>45546</v>
      </c>
      <c r="D926" s="89">
        <v>0.66666666666666663</v>
      </c>
      <c r="E926" s="87" t="s">
        <v>58</v>
      </c>
      <c r="F926" s="87" t="s">
        <v>116</v>
      </c>
      <c r="G926" s="87" t="s">
        <v>62</v>
      </c>
      <c r="H926" s="90" t="s">
        <v>4254</v>
      </c>
      <c r="I926" s="90" t="s">
        <v>118</v>
      </c>
      <c r="J926" s="87" t="s">
        <v>173</v>
      </c>
      <c r="K926" s="87"/>
      <c r="L926" s="87" t="s">
        <v>4255</v>
      </c>
      <c r="M926" s="87" t="s">
        <v>4256</v>
      </c>
      <c r="N926" s="87" t="s">
        <v>4257</v>
      </c>
      <c r="O926" s="90" t="str">
        <f t="shared" si="133"/>
        <v>Engativá</v>
      </c>
      <c r="P926" s="87" t="s">
        <v>123</v>
      </c>
      <c r="Q926" s="87"/>
      <c r="R926" s="87"/>
      <c r="S926" s="87"/>
      <c r="T926" s="87"/>
      <c r="U926" s="87"/>
      <c r="V926" s="90" t="str">
        <f t="shared" si="137"/>
        <v>Occidente</v>
      </c>
      <c r="W926" s="87" t="s">
        <v>124</v>
      </c>
      <c r="X926" s="87"/>
      <c r="Y926" s="87"/>
      <c r="Z926" s="87"/>
      <c r="AA926" s="87"/>
      <c r="AB926" s="87"/>
      <c r="AC926" s="90" t="str">
        <f t="shared" si="138"/>
        <v>Engativá</v>
      </c>
      <c r="AD926" s="87" t="s">
        <v>123</v>
      </c>
      <c r="AE926" s="87"/>
      <c r="AF926" s="87"/>
      <c r="AG926" s="87"/>
      <c r="AH926" s="87"/>
      <c r="AI926" s="87"/>
      <c r="AJ926" s="87"/>
      <c r="AK926" s="87"/>
      <c r="AL926" s="87"/>
      <c r="AM926" s="87"/>
      <c r="AN926" s="90" t="s">
        <v>4258</v>
      </c>
      <c r="AO926" s="90" t="s">
        <v>4259</v>
      </c>
      <c r="AP926" s="82"/>
      <c r="AQ926" s="134" t="s">
        <v>59</v>
      </c>
      <c r="AR926" s="134" t="s">
        <v>80</v>
      </c>
      <c r="AS926" s="82"/>
      <c r="AT926" s="87">
        <v>14</v>
      </c>
      <c r="AU926" s="87">
        <v>4</v>
      </c>
      <c r="AV926" s="87">
        <f t="shared" si="184"/>
        <v>18</v>
      </c>
      <c r="AW926" s="87" t="str">
        <f t="shared" si="54"/>
        <v>Accesibilidad Universal</v>
      </c>
      <c r="AX926" s="87" t="s">
        <v>246</v>
      </c>
      <c r="AY926" s="87"/>
      <c r="AZ926" s="87"/>
      <c r="BA926" s="91" t="s">
        <v>4260</v>
      </c>
      <c r="BB926" s="84"/>
      <c r="BC926" s="85"/>
      <c r="BD926" s="85"/>
    </row>
    <row r="927" spans="1:56" s="86" customFormat="1" ht="57" customHeight="1">
      <c r="A927" s="87">
        <v>922</v>
      </c>
      <c r="B927" s="79" t="s">
        <v>4261</v>
      </c>
      <c r="C927" s="132">
        <v>45547</v>
      </c>
      <c r="D927" s="133">
        <v>0.33333333333333331</v>
      </c>
      <c r="E927" s="134" t="s">
        <v>58</v>
      </c>
      <c r="F927" s="134" t="s">
        <v>1437</v>
      </c>
      <c r="G927" s="134" t="s">
        <v>62</v>
      </c>
      <c r="H927" s="94" t="s">
        <v>4262</v>
      </c>
      <c r="I927" s="94" t="s">
        <v>118</v>
      </c>
      <c r="J927" s="134" t="s">
        <v>816</v>
      </c>
      <c r="K927" s="134"/>
      <c r="L927" s="87" t="s">
        <v>3042</v>
      </c>
      <c r="M927" s="87" t="s">
        <v>3042</v>
      </c>
      <c r="N927" s="87" t="s">
        <v>3042</v>
      </c>
      <c r="O927" s="94" t="str">
        <f>_xlfn.TEXTJOIN(", ",TRUE,$P927:$T927)</f>
        <v>Puente Aranda</v>
      </c>
      <c r="P927" s="134" t="s">
        <v>823</v>
      </c>
      <c r="Q927" s="134"/>
      <c r="R927" s="134"/>
      <c r="S927" s="134"/>
      <c r="T927" s="134"/>
      <c r="U927" s="134"/>
      <c r="V927" s="94" t="str">
        <f>_xlfn.TEXTJOIN(", ",TRUE,$W927:$AB927)</f>
        <v>Centro Ampliado</v>
      </c>
      <c r="W927" s="134" t="s">
        <v>415</v>
      </c>
      <c r="X927" s="134"/>
      <c r="Y927" s="134"/>
      <c r="Z927" s="134"/>
      <c r="AA927" s="134"/>
      <c r="AB927" s="134"/>
      <c r="AC927" s="94" t="str">
        <f>_xlfn.TEXTJOIN(", ",TRUE,$AD927:$AM927)</f>
        <v>Puente Aranda</v>
      </c>
      <c r="AD927" s="134" t="s">
        <v>823</v>
      </c>
      <c r="AE927" s="134"/>
      <c r="AF927" s="134"/>
      <c r="AG927" s="134"/>
      <c r="AH927" s="134"/>
      <c r="AI927" s="134"/>
      <c r="AJ927" s="134"/>
      <c r="AK927" s="134"/>
      <c r="AL927" s="134"/>
      <c r="AM927" s="134"/>
      <c r="AN927" s="90" t="s">
        <v>80</v>
      </c>
      <c r="AO927" s="63" t="s">
        <v>4263</v>
      </c>
      <c r="AP927" s="84"/>
      <c r="AQ927" s="134" t="s">
        <v>59</v>
      </c>
      <c r="AR927" s="134" t="s">
        <v>80</v>
      </c>
      <c r="AS927" s="84"/>
      <c r="AT927" s="134">
        <v>0</v>
      </c>
      <c r="AU927" s="134"/>
      <c r="AV927" s="134">
        <f>AT927+AU927</f>
        <v>0</v>
      </c>
      <c r="AW927" s="87" t="str">
        <f>_xlfn.TEXTJOIN(", ",TRUE,$AX927:$AZ927)</f>
        <v/>
      </c>
      <c r="AX927" s="134"/>
      <c r="AY927" s="134"/>
      <c r="AZ927" s="136"/>
      <c r="BA927" s="119"/>
      <c r="BB927" s="84"/>
      <c r="BC927" s="85"/>
      <c r="BD927" s="85"/>
    </row>
    <row r="928" spans="1:56" s="86" customFormat="1" ht="66.75" customHeight="1">
      <c r="A928" s="78">
        <v>923</v>
      </c>
      <c r="B928" s="79" t="s">
        <v>699</v>
      </c>
      <c r="C928" s="88">
        <v>45547</v>
      </c>
      <c r="D928" s="89">
        <v>0.35416666666666669</v>
      </c>
      <c r="E928" s="87" t="s">
        <v>93</v>
      </c>
      <c r="F928" s="87" t="s">
        <v>321</v>
      </c>
      <c r="G928" s="87" t="s">
        <v>62</v>
      </c>
      <c r="H928" s="90" t="s">
        <v>700</v>
      </c>
      <c r="I928" s="90" t="s">
        <v>118</v>
      </c>
      <c r="J928" s="87" t="s">
        <v>70</v>
      </c>
      <c r="K928" s="87" t="s">
        <v>1810</v>
      </c>
      <c r="L928" s="90" t="s">
        <v>1374</v>
      </c>
      <c r="M928" s="91" t="s">
        <v>4264</v>
      </c>
      <c r="N928" s="90" t="s">
        <v>703</v>
      </c>
      <c r="O928" s="90" t="str">
        <f>_xlfn.TEXTJOIN(", ",TRUE,$P928:$T928)</f>
        <v>Bosa</v>
      </c>
      <c r="P928" s="87" t="s">
        <v>472</v>
      </c>
      <c r="Q928" s="87"/>
      <c r="R928" s="87"/>
      <c r="S928" s="87"/>
      <c r="T928" s="87"/>
      <c r="U928" s="87"/>
      <c r="V928" s="90" t="str">
        <f>_xlfn.TEXTJOIN(", ",TRUE,$W928:$AB928)</f>
        <v>Suroccidente</v>
      </c>
      <c r="W928" s="87" t="s">
        <v>474</v>
      </c>
      <c r="X928" s="87"/>
      <c r="Y928" s="87"/>
      <c r="Z928" s="87"/>
      <c r="AA928" s="87"/>
      <c r="AB928" s="87"/>
      <c r="AC928" s="90" t="str">
        <f>_xlfn.TEXTJOIN(", ",TRUE,$AD928:$AM928)</f>
        <v>Bosa</v>
      </c>
      <c r="AD928" s="87" t="s">
        <v>472</v>
      </c>
      <c r="AE928" s="87"/>
      <c r="AF928" s="87"/>
      <c r="AG928" s="87"/>
      <c r="AH928" s="87"/>
      <c r="AI928" s="87"/>
      <c r="AJ928" s="87"/>
      <c r="AK928" s="87"/>
      <c r="AL928" s="87"/>
      <c r="AM928" s="87"/>
      <c r="AN928" s="90" t="s">
        <v>80</v>
      </c>
      <c r="AO928" s="90" t="s">
        <v>3426</v>
      </c>
      <c r="AP928" s="82"/>
      <c r="AQ928" s="87" t="s">
        <v>59</v>
      </c>
      <c r="AR928" s="87" t="s">
        <v>80</v>
      </c>
      <c r="AS928" s="82"/>
      <c r="AT928" s="87">
        <v>21</v>
      </c>
      <c r="AU928" s="87">
        <v>1</v>
      </c>
      <c r="AV928" s="87">
        <f>AT928+AU928</f>
        <v>22</v>
      </c>
      <c r="AW928" s="87" t="str">
        <f>_xlfn.TEXTJOIN(", ",TRUE,$AX928:$AZ928)</f>
        <v>Accesibilidad Universal</v>
      </c>
      <c r="AX928" s="87" t="s">
        <v>246</v>
      </c>
      <c r="AY928" s="87"/>
      <c r="AZ928" s="87"/>
      <c r="BA928" s="91" t="s">
        <v>4260</v>
      </c>
      <c r="BB928" s="84"/>
      <c r="BC928" s="85"/>
      <c r="BD928" s="85"/>
    </row>
    <row r="929" spans="1:56" s="86" customFormat="1" ht="57" customHeight="1">
      <c r="A929" s="87">
        <v>924</v>
      </c>
      <c r="B929" s="79" t="s">
        <v>4265</v>
      </c>
      <c r="C929" s="88">
        <v>45547</v>
      </c>
      <c r="D929" s="89">
        <v>0.39583333333333331</v>
      </c>
      <c r="E929" s="87" t="s">
        <v>58</v>
      </c>
      <c r="F929" s="87" t="s">
        <v>135</v>
      </c>
      <c r="G929" s="87" t="s">
        <v>95</v>
      </c>
      <c r="H929" s="90" t="s">
        <v>4266</v>
      </c>
      <c r="I929" s="90" t="s">
        <v>118</v>
      </c>
      <c r="J929" s="87" t="s">
        <v>70</v>
      </c>
      <c r="K929" s="87" t="s">
        <v>71</v>
      </c>
      <c r="L929" s="90" t="s">
        <v>4268</v>
      </c>
      <c r="M929" s="91" t="s">
        <v>3042</v>
      </c>
      <c r="N929" s="90" t="s">
        <v>4269</v>
      </c>
      <c r="O929" s="90" t="str">
        <f t="shared" si="133"/>
        <v>Distrital</v>
      </c>
      <c r="P929" s="87" t="s">
        <v>73</v>
      </c>
      <c r="Q929" s="87"/>
      <c r="R929" s="87"/>
      <c r="S929" s="87"/>
      <c r="T929" s="87"/>
      <c r="U929" s="87"/>
      <c r="V929" s="90" t="str">
        <f t="shared" si="137"/>
        <v>Distrital</v>
      </c>
      <c r="W929" s="87" t="s">
        <v>73</v>
      </c>
      <c r="X929" s="87"/>
      <c r="Y929" s="87"/>
      <c r="Z929" s="87"/>
      <c r="AA929" s="87"/>
      <c r="AB929" s="87"/>
      <c r="AC929" s="90" t="str">
        <f t="shared" si="138"/>
        <v>Distrital</v>
      </c>
      <c r="AD929" s="87" t="s">
        <v>73</v>
      </c>
      <c r="AE929" s="87"/>
      <c r="AF929" s="87"/>
      <c r="AG929" s="87"/>
      <c r="AH929" s="87"/>
      <c r="AI929" s="87"/>
      <c r="AJ929" s="87"/>
      <c r="AK929" s="87"/>
      <c r="AL929" s="87"/>
      <c r="AM929" s="87"/>
      <c r="AN929" s="90" t="s">
        <v>80</v>
      </c>
      <c r="AO929" s="102" t="s">
        <v>2638</v>
      </c>
      <c r="AP929" s="82"/>
      <c r="AQ929" s="134" t="s">
        <v>59</v>
      </c>
      <c r="AR929" s="134" t="s">
        <v>80</v>
      </c>
      <c r="AS929" s="82"/>
      <c r="AT929" s="87">
        <v>15</v>
      </c>
      <c r="AU929" s="87">
        <v>1</v>
      </c>
      <c r="AV929" s="87">
        <f t="shared" si="184"/>
        <v>16</v>
      </c>
      <c r="AW929" s="87" t="str">
        <f t="shared" ref="AW929:AW933" si="185">_xlfn.TEXTJOIN(", ",TRUE,$AX929:$AZ929)</f>
        <v>Ninguna</v>
      </c>
      <c r="AX929" s="87" t="s">
        <v>75</v>
      </c>
      <c r="AY929" s="87"/>
      <c r="AZ929" s="87"/>
      <c r="BA929" s="91" t="s">
        <v>4270</v>
      </c>
      <c r="BB929" s="84"/>
      <c r="BC929" s="85"/>
      <c r="BD929" s="85"/>
    </row>
    <row r="930" spans="1:56" s="86" customFormat="1" ht="57" customHeight="1">
      <c r="A930" s="78">
        <v>925</v>
      </c>
      <c r="B930" s="79" t="s">
        <v>2006</v>
      </c>
      <c r="C930" s="88">
        <v>45547</v>
      </c>
      <c r="D930" s="89">
        <v>0.41666666666666669</v>
      </c>
      <c r="E930" s="87" t="s">
        <v>93</v>
      </c>
      <c r="F930" s="87" t="s">
        <v>321</v>
      </c>
      <c r="G930" s="87" t="s">
        <v>62</v>
      </c>
      <c r="H930" s="90" t="s">
        <v>4271</v>
      </c>
      <c r="I930" s="90" t="s">
        <v>118</v>
      </c>
      <c r="J930" s="87" t="s">
        <v>70</v>
      </c>
      <c r="K930" s="87" t="s">
        <v>1810</v>
      </c>
      <c r="L930" s="90" t="s">
        <v>4272</v>
      </c>
      <c r="M930" s="91" t="s">
        <v>4273</v>
      </c>
      <c r="N930" s="87" t="s">
        <v>3042</v>
      </c>
      <c r="O930" s="90" t="str">
        <f t="shared" si="133"/>
        <v>Barrios Unidos</v>
      </c>
      <c r="P930" s="87" t="s">
        <v>686</v>
      </c>
      <c r="Q930" s="87"/>
      <c r="R930" s="87"/>
      <c r="S930" s="87"/>
      <c r="T930" s="87"/>
      <c r="U930" s="87"/>
      <c r="V930" s="90" t="str">
        <f t="shared" si="137"/>
        <v>Centro Ampliado</v>
      </c>
      <c r="W930" s="87" t="s">
        <v>415</v>
      </c>
      <c r="X930" s="87"/>
      <c r="Y930" s="87"/>
      <c r="Z930" s="87"/>
      <c r="AA930" s="87"/>
      <c r="AB930" s="87"/>
      <c r="AC930" s="90" t="str">
        <f t="shared" si="138"/>
        <v>Barrios Unidos</v>
      </c>
      <c r="AD930" s="87" t="s">
        <v>686</v>
      </c>
      <c r="AE930" s="87"/>
      <c r="AF930" s="87"/>
      <c r="AG930" s="87"/>
      <c r="AH930" s="87"/>
      <c r="AI930" s="87"/>
      <c r="AJ930" s="87"/>
      <c r="AK930" s="87"/>
      <c r="AL930" s="87"/>
      <c r="AM930" s="87"/>
      <c r="AN930" s="90" t="s">
        <v>2230</v>
      </c>
      <c r="AO930" s="90" t="s">
        <v>4274</v>
      </c>
      <c r="AP930" s="82"/>
      <c r="AQ930" s="134" t="s">
        <v>59</v>
      </c>
      <c r="AR930" s="134" t="s">
        <v>80</v>
      </c>
      <c r="AS930" s="82"/>
      <c r="AT930" s="87">
        <v>15</v>
      </c>
      <c r="AU930" s="87">
        <v>1</v>
      </c>
      <c r="AV930" s="87">
        <f t="shared" si="184"/>
        <v>16</v>
      </c>
      <c r="AW930" s="87" t="str">
        <f t="shared" ref="AW930" si="186">_xlfn.TEXTJOIN(", ",TRUE,$AX930:$AZ930)</f>
        <v>Ninguna</v>
      </c>
      <c r="AX930" s="87" t="s">
        <v>75</v>
      </c>
      <c r="AY930" s="87"/>
      <c r="AZ930" s="87"/>
      <c r="BA930" s="91" t="s">
        <v>4275</v>
      </c>
      <c r="BB930" s="84"/>
      <c r="BC930" s="85"/>
      <c r="BD930" s="85"/>
    </row>
    <row r="931" spans="1:56" s="86" customFormat="1" ht="57" customHeight="1">
      <c r="A931" s="87">
        <v>926</v>
      </c>
      <c r="B931" s="79" t="s">
        <v>4011</v>
      </c>
      <c r="C931" s="132">
        <v>45547</v>
      </c>
      <c r="D931" s="133">
        <v>0.41666666666666669</v>
      </c>
      <c r="E931" s="134" t="s">
        <v>58</v>
      </c>
      <c r="F931" s="134" t="s">
        <v>2207</v>
      </c>
      <c r="G931" s="134" t="s">
        <v>62</v>
      </c>
      <c r="H931" s="94" t="s">
        <v>4168</v>
      </c>
      <c r="I931" s="94" t="s">
        <v>118</v>
      </c>
      <c r="J931" s="134" t="s">
        <v>173</v>
      </c>
      <c r="K931" s="134"/>
      <c r="L931" s="94" t="s">
        <v>80</v>
      </c>
      <c r="M931" s="135" t="s">
        <v>80</v>
      </c>
      <c r="N931" s="94" t="s">
        <v>80</v>
      </c>
      <c r="O931" s="94" t="str">
        <f>_xlfn.TEXTJOIN(", ",TRUE,$P931:$T931)</f>
        <v>Distrital</v>
      </c>
      <c r="P931" s="134" t="s">
        <v>73</v>
      </c>
      <c r="Q931" s="134"/>
      <c r="R931" s="134"/>
      <c r="S931" s="134"/>
      <c r="T931" s="134"/>
      <c r="U931" s="134"/>
      <c r="V931" s="94" t="str">
        <f>_xlfn.TEXTJOIN(", ",TRUE,$W931:$AB931)</f>
        <v>Distrital</v>
      </c>
      <c r="W931" s="134" t="s">
        <v>73</v>
      </c>
      <c r="X931" s="134"/>
      <c r="Y931" s="134"/>
      <c r="Z931" s="134"/>
      <c r="AA931" s="134"/>
      <c r="AB931" s="134"/>
      <c r="AC931" s="94" t="str">
        <f>_xlfn.TEXTJOIN(", ",TRUE,$AD931:$AM931)</f>
        <v>Distrital</v>
      </c>
      <c r="AD931" s="134" t="s">
        <v>73</v>
      </c>
      <c r="AE931" s="134"/>
      <c r="AF931" s="134"/>
      <c r="AG931" s="134"/>
      <c r="AH931" s="134"/>
      <c r="AI931" s="134"/>
      <c r="AJ931" s="134"/>
      <c r="AK931" s="134"/>
      <c r="AL931" s="134"/>
      <c r="AM931" s="134"/>
      <c r="AN931" s="94" t="s">
        <v>80</v>
      </c>
      <c r="AO931" s="63" t="s">
        <v>4276</v>
      </c>
      <c r="AP931" s="84"/>
      <c r="AQ931" s="134" t="s">
        <v>59</v>
      </c>
      <c r="AR931" s="134" t="s">
        <v>80</v>
      </c>
      <c r="AS931" s="84"/>
      <c r="AT931" s="134">
        <v>0</v>
      </c>
      <c r="AU931" s="134">
        <v>11</v>
      </c>
      <c r="AV931" s="134">
        <f t="shared" si="184"/>
        <v>11</v>
      </c>
      <c r="AW931" s="87" t="str">
        <f t="shared" si="185"/>
        <v>Ninguna</v>
      </c>
      <c r="AX931" s="134" t="s">
        <v>75</v>
      </c>
      <c r="AY931" s="134"/>
      <c r="AZ931" s="136"/>
      <c r="BA931" s="119" t="s">
        <v>4277</v>
      </c>
      <c r="BB931" s="84"/>
      <c r="BC931" s="85"/>
      <c r="BD931" s="85"/>
    </row>
    <row r="932" spans="1:56" s="86" customFormat="1" ht="57" customHeight="1">
      <c r="A932" s="78">
        <v>927</v>
      </c>
      <c r="B932" s="79" t="s">
        <v>4278</v>
      </c>
      <c r="C932" s="132">
        <v>45547</v>
      </c>
      <c r="D932" s="89">
        <v>0.58333333333333337</v>
      </c>
      <c r="E932" s="87" t="s">
        <v>58</v>
      </c>
      <c r="F932" s="87" t="s">
        <v>1437</v>
      </c>
      <c r="G932" s="87" t="s">
        <v>62</v>
      </c>
      <c r="H932" s="90" t="s">
        <v>4279</v>
      </c>
      <c r="I932" s="90" t="s">
        <v>118</v>
      </c>
      <c r="J932" s="87" t="s">
        <v>816</v>
      </c>
      <c r="K932" s="87"/>
      <c r="L932" s="90" t="s">
        <v>80</v>
      </c>
      <c r="M932" s="91" t="s">
        <v>80</v>
      </c>
      <c r="N932" s="90" t="s">
        <v>80</v>
      </c>
      <c r="O932" s="90" t="str">
        <f>_xlfn.TEXTJOIN(", ",TRUE,$P932:$T932)</f>
        <v>Rafael Uribe Uribe</v>
      </c>
      <c r="P932" s="87" t="s">
        <v>414</v>
      </c>
      <c r="Q932" s="87"/>
      <c r="R932" s="87"/>
      <c r="S932" s="87"/>
      <c r="T932" s="87"/>
      <c r="U932" s="87"/>
      <c r="V932" s="90" t="str">
        <f>_xlfn.TEXTJOIN(", ",TRUE,$W932:$AB932)</f>
        <v>Suroriente</v>
      </c>
      <c r="W932" s="87" t="s">
        <v>108</v>
      </c>
      <c r="X932" s="87"/>
      <c r="Y932" s="87"/>
      <c r="Z932" s="87"/>
      <c r="AA932" s="87"/>
      <c r="AB932" s="87"/>
      <c r="AC932" s="90" t="str">
        <f>_xlfn.TEXTJOIN(", ",TRUE,$AD932:$AM932)</f>
        <v>Rafael Uribe</v>
      </c>
      <c r="AD932" s="87" t="s">
        <v>467</v>
      </c>
      <c r="AE932" s="87"/>
      <c r="AF932" s="87"/>
      <c r="AG932" s="87"/>
      <c r="AH932" s="87"/>
      <c r="AI932" s="87"/>
      <c r="AJ932" s="87"/>
      <c r="AK932" s="87"/>
      <c r="AL932" s="87"/>
      <c r="AM932" s="87"/>
      <c r="AN932" s="90" t="s">
        <v>80</v>
      </c>
      <c r="AO932" s="64" t="s">
        <v>4280</v>
      </c>
      <c r="AP932" s="82"/>
      <c r="AQ932" s="87" t="s">
        <v>59</v>
      </c>
      <c r="AR932" s="87" t="s">
        <v>80</v>
      </c>
      <c r="AS932" s="82"/>
      <c r="AT932" s="87">
        <v>0</v>
      </c>
      <c r="AU932" s="87"/>
      <c r="AV932" s="87">
        <f>AT932+AU932</f>
        <v>0</v>
      </c>
      <c r="AW932" s="87"/>
      <c r="AX932" s="87"/>
      <c r="AY932" s="87"/>
      <c r="AZ932" s="114"/>
      <c r="BA932" s="119"/>
      <c r="BB932" s="84"/>
      <c r="BC932" s="85"/>
      <c r="BD932" s="85"/>
    </row>
    <row r="933" spans="1:56" s="86" customFormat="1" ht="57" customHeight="1">
      <c r="A933" s="87">
        <v>928</v>
      </c>
      <c r="B933" s="79" t="s">
        <v>4281</v>
      </c>
      <c r="C933" s="88">
        <v>45547</v>
      </c>
      <c r="D933" s="89">
        <v>0.58333333333333337</v>
      </c>
      <c r="E933" s="87" t="s">
        <v>58</v>
      </c>
      <c r="F933" s="87" t="s">
        <v>2121</v>
      </c>
      <c r="G933" s="87" t="s">
        <v>95</v>
      </c>
      <c r="H933" s="90" t="s">
        <v>4282</v>
      </c>
      <c r="I933" s="90" t="s">
        <v>118</v>
      </c>
      <c r="J933" s="87" t="s">
        <v>70</v>
      </c>
      <c r="K933" s="87" t="s">
        <v>71</v>
      </c>
      <c r="L933" s="130" t="s">
        <v>72</v>
      </c>
      <c r="M933" s="130" t="s">
        <v>72</v>
      </c>
      <c r="N933" s="130" t="s">
        <v>72</v>
      </c>
      <c r="O933" s="94" t="str">
        <f>_xlfn.TEXTJOIN(", ",TRUE,$P933:$T933)</f>
        <v>Distrital</v>
      </c>
      <c r="P933" s="134" t="s">
        <v>73</v>
      </c>
      <c r="Q933" s="134"/>
      <c r="R933" s="134"/>
      <c r="S933" s="134"/>
      <c r="T933" s="134"/>
      <c r="U933" s="134"/>
      <c r="V933" s="94" t="str">
        <f>_xlfn.TEXTJOIN(", ",TRUE,$W933:$AB933)</f>
        <v>Distrital</v>
      </c>
      <c r="W933" s="134" t="s">
        <v>73</v>
      </c>
      <c r="X933" s="134"/>
      <c r="Y933" s="134"/>
      <c r="Z933" s="134"/>
      <c r="AA933" s="134"/>
      <c r="AB933" s="134"/>
      <c r="AC933" s="94" t="str">
        <f>_xlfn.TEXTJOIN(", ",TRUE,$AD933:$AM933)</f>
        <v>Distrital</v>
      </c>
      <c r="AD933" s="134" t="s">
        <v>73</v>
      </c>
      <c r="AE933" s="87"/>
      <c r="AF933" s="87"/>
      <c r="AG933" s="87"/>
      <c r="AH933" s="87"/>
      <c r="AI933" s="87"/>
      <c r="AJ933" s="87"/>
      <c r="AK933" s="87"/>
      <c r="AL933" s="87"/>
      <c r="AM933" s="87"/>
      <c r="AN933" s="90" t="s">
        <v>72</v>
      </c>
      <c r="AO933" s="102" t="s">
        <v>2638</v>
      </c>
      <c r="AP933" s="82"/>
      <c r="AQ933" s="134" t="s">
        <v>59</v>
      </c>
      <c r="AR933" s="134" t="s">
        <v>80</v>
      </c>
      <c r="AS933" s="82"/>
      <c r="AT933" s="87">
        <v>0</v>
      </c>
      <c r="AU933" s="87">
        <v>8</v>
      </c>
      <c r="AV933" s="87">
        <f t="shared" ref="AV933:AV935" si="187">AT933+AU933</f>
        <v>8</v>
      </c>
      <c r="AW933" s="87" t="str">
        <f t="shared" si="185"/>
        <v>Ninguna</v>
      </c>
      <c r="AX933" s="87" t="s">
        <v>75</v>
      </c>
      <c r="AY933" s="87"/>
      <c r="AZ933" s="87"/>
      <c r="BA933" s="91" t="s">
        <v>4283</v>
      </c>
      <c r="BB933" s="84"/>
      <c r="BC933" s="85"/>
      <c r="BD933" s="85"/>
    </row>
    <row r="934" spans="1:56" s="86" customFormat="1" ht="57" customHeight="1">
      <c r="A934" s="78">
        <v>929</v>
      </c>
      <c r="B934" s="79" t="s">
        <v>4284</v>
      </c>
      <c r="C934" s="88">
        <v>45547</v>
      </c>
      <c r="D934" s="89">
        <v>0.60416666666666663</v>
      </c>
      <c r="E934" s="87" t="s">
        <v>93</v>
      </c>
      <c r="F934" s="87" t="s">
        <v>102</v>
      </c>
      <c r="G934" s="87" t="s">
        <v>62</v>
      </c>
      <c r="H934" s="90" t="s">
        <v>1350</v>
      </c>
      <c r="I934" s="90" t="s">
        <v>118</v>
      </c>
      <c r="J934" s="87" t="s">
        <v>119</v>
      </c>
      <c r="K934" s="87" t="s">
        <v>129</v>
      </c>
      <c r="L934" s="90" t="s">
        <v>3964</v>
      </c>
      <c r="M934" s="91" t="s">
        <v>3965</v>
      </c>
      <c r="N934" s="90" t="s">
        <v>439</v>
      </c>
      <c r="O934" s="94" t="str">
        <f>_xlfn.TEXTJOIN(", ",TRUE,$P934:$T934)</f>
        <v>Distrital</v>
      </c>
      <c r="P934" s="134" t="s">
        <v>73</v>
      </c>
      <c r="Q934" s="134"/>
      <c r="R934" s="134"/>
      <c r="S934" s="134"/>
      <c r="T934" s="134"/>
      <c r="U934" s="134"/>
      <c r="V934" s="94" t="str">
        <f>_xlfn.TEXTJOIN(", ",TRUE,$W934:$AB934)</f>
        <v>Distrital</v>
      </c>
      <c r="W934" s="134" t="s">
        <v>73</v>
      </c>
      <c r="X934" s="134"/>
      <c r="Y934" s="134"/>
      <c r="Z934" s="134"/>
      <c r="AA934" s="134"/>
      <c r="AB934" s="134"/>
      <c r="AC934" s="94" t="str">
        <f>_xlfn.TEXTJOIN(", ",TRUE,$AD934:$AM934)</f>
        <v>Distrital</v>
      </c>
      <c r="AD934" s="134" t="s">
        <v>73</v>
      </c>
      <c r="AE934" s="87"/>
      <c r="AF934" s="87"/>
      <c r="AG934" s="87"/>
      <c r="AH934" s="87"/>
      <c r="AI934" s="87"/>
      <c r="AJ934" s="87"/>
      <c r="AK934" s="87"/>
      <c r="AL934" s="87"/>
      <c r="AM934" s="87"/>
      <c r="AN934" s="94" t="s">
        <v>80</v>
      </c>
      <c r="AO934" s="90" t="s">
        <v>4285</v>
      </c>
      <c r="AP934" s="82"/>
      <c r="AQ934" s="134" t="s">
        <v>59</v>
      </c>
      <c r="AR934" s="134" t="s">
        <v>80</v>
      </c>
      <c r="AS934" s="82"/>
      <c r="AT934" s="87">
        <v>5</v>
      </c>
      <c r="AU934" s="87">
        <v>9</v>
      </c>
      <c r="AV934" s="87">
        <f>AT934+AU934</f>
        <v>14</v>
      </c>
      <c r="AW934" s="87" t="str">
        <f>_xlfn.TEXTJOIN(", ",TRUE,$AX934:$AZ934)</f>
        <v>Ninguna</v>
      </c>
      <c r="AX934" s="87" t="s">
        <v>75</v>
      </c>
      <c r="AY934" s="87"/>
      <c r="AZ934" s="87"/>
      <c r="BA934" s="91" t="s">
        <v>4286</v>
      </c>
      <c r="BB934" s="84"/>
      <c r="BC934" s="85"/>
      <c r="BD934" s="85"/>
    </row>
    <row r="935" spans="1:56" s="86" customFormat="1" ht="57" customHeight="1">
      <c r="A935" s="87">
        <v>930</v>
      </c>
      <c r="B935" s="79" t="s">
        <v>4287</v>
      </c>
      <c r="C935" s="88">
        <v>45547</v>
      </c>
      <c r="D935" s="89">
        <v>0.625</v>
      </c>
      <c r="E935" s="87" t="s">
        <v>58</v>
      </c>
      <c r="F935" s="87" t="s">
        <v>116</v>
      </c>
      <c r="G935" s="87" t="s">
        <v>62</v>
      </c>
      <c r="H935" s="90" t="s">
        <v>4288</v>
      </c>
      <c r="I935" s="90" t="s">
        <v>118</v>
      </c>
      <c r="J935" s="87" t="s">
        <v>173</v>
      </c>
      <c r="K935" s="87"/>
      <c r="L935" s="87" t="s">
        <v>4289</v>
      </c>
      <c r="M935" s="87" t="s">
        <v>72</v>
      </c>
      <c r="N935" s="87" t="s">
        <v>4290</v>
      </c>
      <c r="O935" s="90" t="str">
        <f t="shared" si="133"/>
        <v>Barrios Unidos</v>
      </c>
      <c r="P935" s="87" t="s">
        <v>686</v>
      </c>
      <c r="Q935" s="87"/>
      <c r="R935" s="87"/>
      <c r="S935" s="87"/>
      <c r="T935" s="87"/>
      <c r="U935" s="87"/>
      <c r="V935" s="90" t="str">
        <f t="shared" si="137"/>
        <v>Centro Ampliado</v>
      </c>
      <c r="W935" s="87" t="s">
        <v>415</v>
      </c>
      <c r="X935" s="87"/>
      <c r="Y935" s="87"/>
      <c r="Z935" s="87"/>
      <c r="AA935" s="87"/>
      <c r="AB935" s="87"/>
      <c r="AC935" s="90" t="str">
        <f t="shared" si="138"/>
        <v>Barrios Unidos</v>
      </c>
      <c r="AD935" s="87" t="s">
        <v>686</v>
      </c>
      <c r="AE935" s="87"/>
      <c r="AF935" s="87"/>
      <c r="AG935" s="87"/>
      <c r="AH935" s="87"/>
      <c r="AI935" s="87"/>
      <c r="AJ935" s="87"/>
      <c r="AK935" s="87"/>
      <c r="AL935" s="87"/>
      <c r="AM935" s="87"/>
      <c r="AN935" s="90" t="s">
        <v>4291</v>
      </c>
      <c r="AO935" s="90" t="s">
        <v>4292</v>
      </c>
      <c r="AP935" s="82"/>
      <c r="AQ935" s="134" t="s">
        <v>59</v>
      </c>
      <c r="AR935" s="134" t="s">
        <v>80</v>
      </c>
      <c r="AS935" s="82"/>
      <c r="AT935" s="87">
        <v>40</v>
      </c>
      <c r="AU935" s="87">
        <v>1</v>
      </c>
      <c r="AV935" s="87">
        <f t="shared" si="187"/>
        <v>41</v>
      </c>
      <c r="AW935" s="87" t="str">
        <f t="shared" ref="AW935" si="188">_xlfn.TEXTJOIN(", ",TRUE,$AX935:$AZ935)</f>
        <v>Ninguna</v>
      </c>
      <c r="AX935" s="87" t="s">
        <v>75</v>
      </c>
      <c r="AY935" s="87"/>
      <c r="AZ935" s="87"/>
      <c r="BA935" s="91" t="s">
        <v>4293</v>
      </c>
      <c r="BB935" s="84"/>
      <c r="BC935" s="85"/>
      <c r="BD935" s="85"/>
    </row>
    <row r="936" spans="1:56" s="86" customFormat="1" ht="57" customHeight="1">
      <c r="A936" s="78">
        <v>931</v>
      </c>
      <c r="B936" s="79" t="s">
        <v>4294</v>
      </c>
      <c r="C936" s="88">
        <v>45547</v>
      </c>
      <c r="D936" s="89">
        <v>0.66666666666666663</v>
      </c>
      <c r="E936" s="87" t="s">
        <v>58</v>
      </c>
      <c r="F936" s="134" t="s">
        <v>1437</v>
      </c>
      <c r="G936" s="87" t="s">
        <v>62</v>
      </c>
      <c r="H936" s="90" t="s">
        <v>4295</v>
      </c>
      <c r="I936" s="90" t="s">
        <v>118</v>
      </c>
      <c r="J936" s="87" t="s">
        <v>173</v>
      </c>
      <c r="K936" s="87"/>
      <c r="L936" s="130" t="s">
        <v>72</v>
      </c>
      <c r="M936" s="130" t="s">
        <v>72</v>
      </c>
      <c r="N936" s="130" t="s">
        <v>72</v>
      </c>
      <c r="O936" s="94" t="str">
        <f>_xlfn.TEXTJOIN(", ",TRUE,$P936:$T936)</f>
        <v>Distrital</v>
      </c>
      <c r="P936" s="134" t="s">
        <v>73</v>
      </c>
      <c r="Q936" s="134"/>
      <c r="R936" s="134"/>
      <c r="S936" s="134"/>
      <c r="T936" s="134"/>
      <c r="U936" s="134"/>
      <c r="V936" s="94" t="str">
        <f>_xlfn.TEXTJOIN(", ",TRUE,$W936:$AB936)</f>
        <v>Distrital</v>
      </c>
      <c r="W936" s="134" t="s">
        <v>73</v>
      </c>
      <c r="X936" s="134"/>
      <c r="Y936" s="134"/>
      <c r="Z936" s="134"/>
      <c r="AA936" s="134"/>
      <c r="AB936" s="134"/>
      <c r="AC936" s="94" t="str">
        <f>_xlfn.TEXTJOIN(", ",TRUE,$AD936:$AM936)</f>
        <v>Distrital</v>
      </c>
      <c r="AD936" s="134" t="s">
        <v>73</v>
      </c>
      <c r="AE936" s="87"/>
      <c r="AF936" s="87"/>
      <c r="AG936" s="87"/>
      <c r="AH936" s="87"/>
      <c r="AI936" s="87"/>
      <c r="AJ936" s="87"/>
      <c r="AK936" s="87"/>
      <c r="AL936" s="87"/>
      <c r="AM936" s="87"/>
      <c r="AN936" s="90" t="s">
        <v>72</v>
      </c>
      <c r="AO936" s="90" t="s">
        <v>90</v>
      </c>
      <c r="AP936" s="82"/>
      <c r="AQ936" s="134" t="s">
        <v>59</v>
      </c>
      <c r="AR936" s="134" t="s">
        <v>80</v>
      </c>
      <c r="AS936" s="82"/>
      <c r="AT936" s="87">
        <v>3</v>
      </c>
      <c r="AU936" s="87">
        <v>3</v>
      </c>
      <c r="AV936" s="87">
        <f t="shared" ref="AV936" si="189">AT936+AU936</f>
        <v>6</v>
      </c>
      <c r="AW936" s="87" t="str">
        <f t="shared" si="54"/>
        <v>Ninguna</v>
      </c>
      <c r="AX936" s="87" t="s">
        <v>75</v>
      </c>
      <c r="AY936" s="87"/>
      <c r="AZ936" s="87"/>
      <c r="BA936" s="91" t="s">
        <v>4296</v>
      </c>
      <c r="BB936" s="84"/>
      <c r="BC936" s="85"/>
      <c r="BD936" s="85"/>
    </row>
    <row r="937" spans="1:56" s="86" customFormat="1" ht="66.75" customHeight="1">
      <c r="A937" s="87">
        <v>932</v>
      </c>
      <c r="B937" s="79" t="s">
        <v>4297</v>
      </c>
      <c r="C937" s="88">
        <v>45548</v>
      </c>
      <c r="D937" s="89">
        <v>0.33333333333333331</v>
      </c>
      <c r="E937" s="87" t="s">
        <v>58</v>
      </c>
      <c r="F937" s="87" t="s">
        <v>1437</v>
      </c>
      <c r="G937" s="87" t="s">
        <v>62</v>
      </c>
      <c r="H937" s="90" t="s">
        <v>4298</v>
      </c>
      <c r="I937" s="90" t="s">
        <v>118</v>
      </c>
      <c r="J937" s="87" t="s">
        <v>816</v>
      </c>
      <c r="K937" s="87"/>
      <c r="L937" s="130" t="s">
        <v>72</v>
      </c>
      <c r="M937" s="130" t="s">
        <v>72</v>
      </c>
      <c r="N937" s="130" t="s">
        <v>72</v>
      </c>
      <c r="O937" s="90" t="str">
        <f>_xlfn.TEXTJOIN(", ",TRUE,$P937:$T937)</f>
        <v>Bosa</v>
      </c>
      <c r="P937" s="87" t="s">
        <v>472</v>
      </c>
      <c r="Q937" s="87"/>
      <c r="R937" s="87"/>
      <c r="S937" s="87"/>
      <c r="T937" s="87"/>
      <c r="U937" s="87"/>
      <c r="V937" s="90" t="str">
        <f>_xlfn.TEXTJOIN(", ",TRUE,$W937:$AB937)</f>
        <v>Suroccidente</v>
      </c>
      <c r="W937" s="87" t="s">
        <v>474</v>
      </c>
      <c r="X937" s="87"/>
      <c r="Y937" s="87"/>
      <c r="Z937" s="87"/>
      <c r="AA937" s="87"/>
      <c r="AB937" s="87"/>
      <c r="AC937" s="90" t="str">
        <f>_xlfn.TEXTJOIN(", ",TRUE,$AD937:$AM937)</f>
        <v>Bosa</v>
      </c>
      <c r="AD937" s="87" t="s">
        <v>472</v>
      </c>
      <c r="AE937" s="87"/>
      <c r="AF937" s="87"/>
      <c r="AG937" s="87"/>
      <c r="AH937" s="87"/>
      <c r="AI937" s="87"/>
      <c r="AJ937" s="87"/>
      <c r="AK937" s="87"/>
      <c r="AL937" s="87"/>
      <c r="AM937" s="87"/>
      <c r="AN937" s="90" t="s">
        <v>72</v>
      </c>
      <c r="AO937" s="79" t="s">
        <v>4299</v>
      </c>
      <c r="AP937" s="82"/>
      <c r="AQ937" s="87" t="s">
        <v>59</v>
      </c>
      <c r="AR937" s="87" t="s">
        <v>80</v>
      </c>
      <c r="AS937" s="82"/>
      <c r="AT937" s="87">
        <v>0</v>
      </c>
      <c r="AU937" s="87">
        <v>8</v>
      </c>
      <c r="AV937" s="87">
        <f>AT937+AU937</f>
        <v>8</v>
      </c>
      <c r="AW937" s="87" t="str">
        <f t="shared" ref="AW937:AW939" si="190">_xlfn.TEXTJOIN(", ",TRUE,$AX937:$AZ937)</f>
        <v>Ninguna</v>
      </c>
      <c r="AX937" s="87" t="s">
        <v>75</v>
      </c>
      <c r="AY937" s="87"/>
      <c r="AZ937" s="114"/>
      <c r="BA937" s="115" t="s">
        <v>4300</v>
      </c>
      <c r="BB937" s="84"/>
      <c r="BC937" s="85"/>
      <c r="BD937" s="85"/>
    </row>
    <row r="938" spans="1:56" s="86" customFormat="1" ht="66.75" customHeight="1">
      <c r="A938" s="78">
        <v>933</v>
      </c>
      <c r="B938" s="79" t="s">
        <v>4301</v>
      </c>
      <c r="C938" s="88">
        <v>45548</v>
      </c>
      <c r="D938" s="89">
        <v>0.33333333333333331</v>
      </c>
      <c r="E938" s="87" t="s">
        <v>58</v>
      </c>
      <c r="F938" s="87" t="s">
        <v>1437</v>
      </c>
      <c r="G938" s="87" t="s">
        <v>62</v>
      </c>
      <c r="H938" s="90" t="s">
        <v>4302</v>
      </c>
      <c r="I938" s="90" t="s">
        <v>118</v>
      </c>
      <c r="J938" s="87" t="s">
        <v>816</v>
      </c>
      <c r="K938" s="87"/>
      <c r="L938" s="130" t="s">
        <v>72</v>
      </c>
      <c r="M938" s="130" t="s">
        <v>72</v>
      </c>
      <c r="N938" s="130" t="s">
        <v>72</v>
      </c>
      <c r="O938" s="90" t="str">
        <f t="shared" si="133"/>
        <v>Usme</v>
      </c>
      <c r="P938" s="87" t="s">
        <v>670</v>
      </c>
      <c r="Q938" s="87"/>
      <c r="R938" s="87"/>
      <c r="S938" s="87"/>
      <c r="T938" s="87"/>
      <c r="U938" s="87"/>
      <c r="V938" s="90" t="str">
        <f t="shared" si="137"/>
        <v>Suroriente, Ruralidad</v>
      </c>
      <c r="W938" s="87" t="s">
        <v>108</v>
      </c>
      <c r="X938" s="87" t="s">
        <v>109</v>
      </c>
      <c r="Y938" s="87"/>
      <c r="Z938" s="87"/>
      <c r="AA938" s="87"/>
      <c r="AB938" s="87"/>
      <c r="AC938" s="90" t="str">
        <f t="shared" si="138"/>
        <v>Usme Entrenubes</v>
      </c>
      <c r="AD938" s="87" t="s">
        <v>671</v>
      </c>
      <c r="AE938" s="87"/>
      <c r="AF938" s="87"/>
      <c r="AG938" s="87"/>
      <c r="AH938" s="87"/>
      <c r="AI938" s="87"/>
      <c r="AJ938" s="87"/>
      <c r="AK938" s="87"/>
      <c r="AL938" s="87"/>
      <c r="AM938" s="87"/>
      <c r="AN938" s="90" t="s">
        <v>72</v>
      </c>
      <c r="AO938" s="90" t="s">
        <v>4303</v>
      </c>
      <c r="AP938" s="82"/>
      <c r="AQ938" s="87" t="s">
        <v>59</v>
      </c>
      <c r="AR938" s="87" t="s">
        <v>80</v>
      </c>
      <c r="AS938" s="82"/>
      <c r="AT938" s="87">
        <v>0</v>
      </c>
      <c r="AU938" s="87">
        <v>2</v>
      </c>
      <c r="AV938" s="87">
        <f t="shared" ref="AV938:AV939" si="191">AT938+AU938</f>
        <v>2</v>
      </c>
      <c r="AW938" s="87" t="str">
        <f t="shared" si="190"/>
        <v>Ninguna</v>
      </c>
      <c r="AX938" s="87" t="s">
        <v>75</v>
      </c>
      <c r="AY938" s="87"/>
      <c r="AZ938" s="114"/>
      <c r="BA938" s="115" t="s">
        <v>4300</v>
      </c>
      <c r="BB938" s="84"/>
      <c r="BC938" s="85"/>
      <c r="BD938" s="85"/>
    </row>
    <row r="939" spans="1:56" s="86" customFormat="1" ht="38.25" customHeight="1">
      <c r="A939" s="87">
        <v>934</v>
      </c>
      <c r="B939" s="79" t="s">
        <v>4304</v>
      </c>
      <c r="C939" s="88">
        <v>45548</v>
      </c>
      <c r="D939" s="89">
        <v>0.33333333333333331</v>
      </c>
      <c r="E939" s="87" t="s">
        <v>58</v>
      </c>
      <c r="F939" s="87" t="s">
        <v>1437</v>
      </c>
      <c r="G939" s="87" t="s">
        <v>62</v>
      </c>
      <c r="H939" s="90" t="s">
        <v>4305</v>
      </c>
      <c r="I939" s="90" t="s">
        <v>118</v>
      </c>
      <c r="J939" s="87" t="s">
        <v>816</v>
      </c>
      <c r="K939" s="87"/>
      <c r="L939" s="90" t="s">
        <v>72</v>
      </c>
      <c r="M939" s="91" t="s">
        <v>72</v>
      </c>
      <c r="N939" s="90" t="s">
        <v>72</v>
      </c>
      <c r="O939" s="90" t="str">
        <f>_xlfn.TEXTJOIN(", ",TRUE,$P939:$T939)</f>
        <v>Kennedy</v>
      </c>
      <c r="P939" s="87" t="s">
        <v>473</v>
      </c>
      <c r="Q939" s="87"/>
      <c r="R939" s="87"/>
      <c r="S939" s="87"/>
      <c r="T939" s="87"/>
      <c r="U939" s="87"/>
      <c r="V939" s="90" t="str">
        <f>_xlfn.TEXTJOIN(", ",TRUE,$W939:$AB939)</f>
        <v>Suroccidente</v>
      </c>
      <c r="W939" s="87" t="s">
        <v>474</v>
      </c>
      <c r="X939" s="87"/>
      <c r="Y939" s="87"/>
      <c r="Z939" s="87"/>
      <c r="AA939" s="87"/>
      <c r="AB939" s="87"/>
      <c r="AC939" s="90" t="str">
        <f>_xlfn.TEXTJOIN(", ",TRUE,$AD939:$AM939)</f>
        <v>Kennedy</v>
      </c>
      <c r="AD939" s="87" t="s">
        <v>473</v>
      </c>
      <c r="AE939" s="87"/>
      <c r="AF939" s="87"/>
      <c r="AG939" s="87"/>
      <c r="AH939" s="87"/>
      <c r="AI939" s="87"/>
      <c r="AJ939" s="87"/>
      <c r="AK939" s="87"/>
      <c r="AL939" s="87"/>
      <c r="AM939" s="87"/>
      <c r="AN939" s="90" t="s">
        <v>80</v>
      </c>
      <c r="AO939" s="124" t="s">
        <v>4307</v>
      </c>
      <c r="AP939" s="82"/>
      <c r="AQ939" s="87" t="s">
        <v>59</v>
      </c>
      <c r="AR939" s="87" t="s">
        <v>80</v>
      </c>
      <c r="AS939" s="82"/>
      <c r="AT939" s="87">
        <v>0</v>
      </c>
      <c r="AU939" s="87">
        <v>9</v>
      </c>
      <c r="AV939" s="87">
        <f t="shared" si="191"/>
        <v>9</v>
      </c>
      <c r="AW939" s="87" t="str">
        <f t="shared" si="190"/>
        <v>Ninguna</v>
      </c>
      <c r="AX939" s="87" t="s">
        <v>75</v>
      </c>
      <c r="AY939" s="87"/>
      <c r="AZ939" s="114"/>
      <c r="BA939" s="115" t="s">
        <v>4300</v>
      </c>
      <c r="BB939" s="84"/>
      <c r="BC939" s="85"/>
      <c r="BD939" s="85"/>
    </row>
    <row r="940" spans="1:56" s="86" customFormat="1" ht="31.5" customHeight="1">
      <c r="A940" s="78">
        <v>935</v>
      </c>
      <c r="B940" s="79" t="s">
        <v>4308</v>
      </c>
      <c r="C940" s="88">
        <v>45548</v>
      </c>
      <c r="D940" s="89">
        <v>0.39583333333333331</v>
      </c>
      <c r="E940" s="87" t="s">
        <v>58</v>
      </c>
      <c r="F940" s="87" t="s">
        <v>1142</v>
      </c>
      <c r="G940" s="87" t="s">
        <v>62</v>
      </c>
      <c r="H940" s="90" t="s">
        <v>4309</v>
      </c>
      <c r="I940" s="90" t="s">
        <v>118</v>
      </c>
      <c r="J940" s="87" t="s">
        <v>119</v>
      </c>
      <c r="K940" s="87" t="s">
        <v>209</v>
      </c>
      <c r="L940" s="90" t="s">
        <v>4310</v>
      </c>
      <c r="M940" s="91" t="s">
        <v>4311</v>
      </c>
      <c r="N940" s="90" t="s">
        <v>4312</v>
      </c>
      <c r="O940" s="90" t="str">
        <f t="shared" si="133"/>
        <v>Distrital</v>
      </c>
      <c r="P940" s="87" t="s">
        <v>73</v>
      </c>
      <c r="Q940" s="87"/>
      <c r="R940" s="87"/>
      <c r="S940" s="87"/>
      <c r="T940" s="87"/>
      <c r="U940" s="87"/>
      <c r="V940" s="90" t="str">
        <f t="shared" si="137"/>
        <v>Distrital</v>
      </c>
      <c r="W940" s="87" t="s">
        <v>73</v>
      </c>
      <c r="X940" s="87"/>
      <c r="Y940" s="87"/>
      <c r="Z940" s="87"/>
      <c r="AA940" s="87"/>
      <c r="AB940" s="87"/>
      <c r="AC940" s="90" t="str">
        <f t="shared" si="138"/>
        <v>Distrital</v>
      </c>
      <c r="AD940" s="87" t="s">
        <v>73</v>
      </c>
      <c r="AE940" s="87"/>
      <c r="AF940" s="87"/>
      <c r="AG940" s="87"/>
      <c r="AH940" s="87"/>
      <c r="AI940" s="87"/>
      <c r="AJ940" s="87"/>
      <c r="AK940" s="87"/>
      <c r="AL940" s="87"/>
      <c r="AM940" s="87"/>
      <c r="AN940" s="90" t="s">
        <v>80</v>
      </c>
      <c r="AO940" s="90" t="s">
        <v>4313</v>
      </c>
      <c r="AP940" s="82"/>
      <c r="AQ940" s="87" t="s">
        <v>59</v>
      </c>
      <c r="AR940" s="87" t="s">
        <v>80</v>
      </c>
      <c r="AS940" s="82"/>
      <c r="AT940" s="87">
        <v>2</v>
      </c>
      <c r="AU940" s="87">
        <v>1</v>
      </c>
      <c r="AV940" s="87">
        <f t="shared" ref="AV940" si="192">AT940+AU940</f>
        <v>3</v>
      </c>
      <c r="AW940" s="87" t="str">
        <f>_xlfn.TEXTJOIN(", ",TRUE,$AX940:$AZ940)</f>
        <v>Ninguna</v>
      </c>
      <c r="AX940" s="87" t="s">
        <v>75</v>
      </c>
      <c r="AY940" s="87"/>
      <c r="AZ940" s="87"/>
      <c r="BA940" s="91" t="s">
        <v>4314</v>
      </c>
      <c r="BB940" s="84"/>
      <c r="BC940" s="85"/>
      <c r="BD940" s="85"/>
    </row>
    <row r="941" spans="1:56" s="86" customFormat="1" ht="40.5" customHeight="1">
      <c r="A941" s="87">
        <v>936</v>
      </c>
      <c r="B941" s="79" t="s">
        <v>4315</v>
      </c>
      <c r="C941" s="88">
        <v>45548</v>
      </c>
      <c r="D941" s="89">
        <v>0.41666666666666669</v>
      </c>
      <c r="E941" s="87" t="s">
        <v>58</v>
      </c>
      <c r="F941" s="87" t="s">
        <v>1437</v>
      </c>
      <c r="G941" s="87" t="s">
        <v>62</v>
      </c>
      <c r="H941" s="90" t="s">
        <v>4316</v>
      </c>
      <c r="I941" s="90" t="s">
        <v>118</v>
      </c>
      <c r="J941" s="87" t="s">
        <v>173</v>
      </c>
      <c r="K941" s="87"/>
      <c r="L941" s="90" t="s">
        <v>72</v>
      </c>
      <c r="M941" s="90" t="s">
        <v>72</v>
      </c>
      <c r="N941" s="90" t="s">
        <v>72</v>
      </c>
      <c r="O941" s="90" t="str">
        <f>_xlfn.TEXTJOIN(", ",TRUE,$P941:$T941)</f>
        <v>Distrital</v>
      </c>
      <c r="P941" s="87" t="s">
        <v>73</v>
      </c>
      <c r="Q941" s="87"/>
      <c r="R941" s="87"/>
      <c r="S941" s="87"/>
      <c r="T941" s="87"/>
      <c r="U941" s="87"/>
      <c r="V941" s="90" t="str">
        <f>_xlfn.TEXTJOIN(", ",TRUE,$P941:$T941)</f>
        <v>Distrital</v>
      </c>
      <c r="W941" s="87" t="s">
        <v>73</v>
      </c>
      <c r="X941" s="87"/>
      <c r="Y941" s="87"/>
      <c r="Z941" s="87"/>
      <c r="AA941" s="87"/>
      <c r="AB941" s="87"/>
      <c r="AC941" s="90" t="str">
        <f>_xlfn.TEXTJOIN(", ",TRUE,$P941:$T941)</f>
        <v>Distrital</v>
      </c>
      <c r="AD941" s="87" t="s">
        <v>73</v>
      </c>
      <c r="AE941" s="87"/>
      <c r="AF941" s="87"/>
      <c r="AG941" s="87"/>
      <c r="AH941" s="87"/>
      <c r="AI941" s="87"/>
      <c r="AJ941" s="87"/>
      <c r="AK941" s="87"/>
      <c r="AL941" s="87"/>
      <c r="AM941" s="87"/>
      <c r="AN941" s="90" t="s">
        <v>72</v>
      </c>
      <c r="AO941" s="90" t="s">
        <v>4317</v>
      </c>
      <c r="AP941" s="82"/>
      <c r="AQ941" s="87" t="s">
        <v>59</v>
      </c>
      <c r="AR941" s="87" t="s">
        <v>80</v>
      </c>
      <c r="AS941" s="82"/>
      <c r="AT941" s="87">
        <v>6</v>
      </c>
      <c r="AU941" s="87">
        <v>2</v>
      </c>
      <c r="AV941" s="87">
        <f>AT941+AU941</f>
        <v>8</v>
      </c>
      <c r="AW941" s="87" t="str">
        <f>_xlfn.TEXTJOIN(", ",TRUE,$AX941:$AZ941)</f>
        <v>Ninguna</v>
      </c>
      <c r="AX941" s="87" t="s">
        <v>75</v>
      </c>
      <c r="AY941" s="87"/>
      <c r="AZ941" s="87"/>
      <c r="BA941" s="91" t="s">
        <v>4318</v>
      </c>
      <c r="BB941" s="84"/>
      <c r="BC941" s="85"/>
      <c r="BD941" s="85"/>
    </row>
    <row r="942" spans="1:56" s="86" customFormat="1" ht="40.5" customHeight="1">
      <c r="A942" s="78">
        <v>937</v>
      </c>
      <c r="B942" s="79" t="s">
        <v>4319</v>
      </c>
      <c r="C942" s="88">
        <v>45548</v>
      </c>
      <c r="D942" s="89">
        <v>0.4375</v>
      </c>
      <c r="E942" s="87" t="s">
        <v>58</v>
      </c>
      <c r="F942" s="87" t="s">
        <v>135</v>
      </c>
      <c r="G942" s="87" t="s">
        <v>95</v>
      </c>
      <c r="H942" s="90" t="s">
        <v>4320</v>
      </c>
      <c r="I942" s="90" t="s">
        <v>128</v>
      </c>
      <c r="J942" s="87" t="s">
        <v>70</v>
      </c>
      <c r="K942" s="87" t="s">
        <v>324</v>
      </c>
      <c r="L942" s="90" t="s">
        <v>3984</v>
      </c>
      <c r="M942" s="91" t="s">
        <v>72</v>
      </c>
      <c r="N942" s="90" t="s">
        <v>349</v>
      </c>
      <c r="O942" s="90" t="str">
        <f>_xlfn.TEXTJOIN(", ",TRUE,$P942:$T942)</f>
        <v>Distrital</v>
      </c>
      <c r="P942" s="87" t="s">
        <v>73</v>
      </c>
      <c r="Q942" s="87"/>
      <c r="R942" s="87"/>
      <c r="S942" s="87"/>
      <c r="T942" s="87"/>
      <c r="U942" s="87"/>
      <c r="V942" s="90" t="str">
        <f>_xlfn.TEXTJOIN(", ",TRUE,$W942:$AB942)</f>
        <v>Distrital</v>
      </c>
      <c r="W942" s="87" t="s">
        <v>73</v>
      </c>
      <c r="X942" s="87"/>
      <c r="Y942" s="87"/>
      <c r="Z942" s="87"/>
      <c r="AA942" s="87"/>
      <c r="AB942" s="87"/>
      <c r="AC942" s="90" t="str">
        <f>_xlfn.TEXTJOIN(", ",TRUE,$AD942:$AM942)</f>
        <v>Distrital</v>
      </c>
      <c r="AD942" s="87" t="s">
        <v>73</v>
      </c>
      <c r="AE942" s="87"/>
      <c r="AF942" s="87"/>
      <c r="AG942" s="87"/>
      <c r="AH942" s="87"/>
      <c r="AI942" s="87"/>
      <c r="AJ942" s="87"/>
      <c r="AK942" s="87"/>
      <c r="AL942" s="87"/>
      <c r="AM942" s="87"/>
      <c r="AN942" s="90" t="s">
        <v>73</v>
      </c>
      <c r="AO942" s="102" t="s">
        <v>2638</v>
      </c>
      <c r="AP942" s="82"/>
      <c r="AQ942" s="87" t="s">
        <v>59</v>
      </c>
      <c r="AR942" s="87" t="s">
        <v>80</v>
      </c>
      <c r="AS942" s="82"/>
      <c r="AT942" s="87">
        <v>0</v>
      </c>
      <c r="AU942" s="87">
        <v>2</v>
      </c>
      <c r="AV942" s="87">
        <f>AT942+AU942</f>
        <v>2</v>
      </c>
      <c r="AW942" s="87" t="str">
        <f>_xlfn.TEXTJOIN(", ",TRUE,$AX942:$AZ942)</f>
        <v>Ninguna</v>
      </c>
      <c r="AX942" s="87" t="s">
        <v>75</v>
      </c>
      <c r="AY942" s="87"/>
      <c r="AZ942" s="87"/>
      <c r="BA942" s="91" t="s">
        <v>4321</v>
      </c>
      <c r="BB942" s="84"/>
      <c r="BC942" s="85"/>
      <c r="BD942" s="85"/>
    </row>
    <row r="943" spans="1:56" s="86" customFormat="1" ht="40.5" customHeight="1">
      <c r="A943" s="87">
        <v>938</v>
      </c>
      <c r="B943" s="79" t="s">
        <v>4322</v>
      </c>
      <c r="C943" s="88">
        <v>45548</v>
      </c>
      <c r="D943" s="89">
        <v>0.45833333333333331</v>
      </c>
      <c r="E943" s="87" t="s">
        <v>93</v>
      </c>
      <c r="F943" s="87" t="s">
        <v>321</v>
      </c>
      <c r="G943" s="87" t="s">
        <v>95</v>
      </c>
      <c r="H943" s="90" t="s">
        <v>4323</v>
      </c>
      <c r="I943" s="90" t="s">
        <v>118</v>
      </c>
      <c r="J943" s="87" t="s">
        <v>70</v>
      </c>
      <c r="K943" s="87" t="s">
        <v>1810</v>
      </c>
      <c r="L943" s="90" t="s">
        <v>484</v>
      </c>
      <c r="M943" s="91" t="s">
        <v>3194</v>
      </c>
      <c r="N943" s="90" t="s">
        <v>3977</v>
      </c>
      <c r="O943" s="90" t="str">
        <f t="shared" si="133"/>
        <v>Los Mártires</v>
      </c>
      <c r="P943" s="87" t="s">
        <v>542</v>
      </c>
      <c r="Q943" s="87"/>
      <c r="R943" s="87"/>
      <c r="S943" s="87"/>
      <c r="T943" s="87"/>
      <c r="U943" s="87"/>
      <c r="V943" s="90" t="str">
        <f t="shared" si="137"/>
        <v>Centro Ampliado</v>
      </c>
      <c r="W943" s="87" t="s">
        <v>415</v>
      </c>
      <c r="X943" s="87"/>
      <c r="Y943" s="87"/>
      <c r="Z943" s="87"/>
      <c r="AA943" s="87"/>
      <c r="AB943" s="87"/>
      <c r="AC943" s="90" t="str">
        <f t="shared" si="138"/>
        <v>Centro Histórico</v>
      </c>
      <c r="AD943" s="87" t="s">
        <v>488</v>
      </c>
      <c r="AE943" s="87"/>
      <c r="AF943" s="87"/>
      <c r="AG943" s="87"/>
      <c r="AH943" s="87"/>
      <c r="AI943" s="87"/>
      <c r="AJ943" s="87"/>
      <c r="AK943" s="87"/>
      <c r="AL943" s="87"/>
      <c r="AM943" s="87"/>
      <c r="AN943" s="90" t="s">
        <v>3978</v>
      </c>
      <c r="AO943" s="90" t="s">
        <v>90</v>
      </c>
      <c r="AP943" s="82"/>
      <c r="AQ943" s="87" t="s">
        <v>59</v>
      </c>
      <c r="AR943" s="87" t="s">
        <v>80</v>
      </c>
      <c r="AS943" s="82"/>
      <c r="AT943" s="87">
        <v>14</v>
      </c>
      <c r="AU943" s="87">
        <v>1</v>
      </c>
      <c r="AV943" s="87">
        <f t="shared" ref="AV943" si="193">AT943+AU943</f>
        <v>15</v>
      </c>
      <c r="AW943" s="87" t="str">
        <f>_xlfn.TEXTJOIN(", ",TRUE,$AX943:$AZ943)</f>
        <v>Ninguna</v>
      </c>
      <c r="AX943" s="87" t="s">
        <v>75</v>
      </c>
      <c r="AY943" s="87"/>
      <c r="AZ943" s="87"/>
      <c r="BA943" s="91" t="s">
        <v>4324</v>
      </c>
      <c r="BB943" s="84"/>
      <c r="BC943" s="85"/>
      <c r="BD943" s="85"/>
    </row>
    <row r="944" spans="1:56" s="86" customFormat="1" ht="58.5" customHeight="1">
      <c r="A944" s="78">
        <v>939</v>
      </c>
      <c r="B944" s="79" t="s">
        <v>4325</v>
      </c>
      <c r="C944" s="88">
        <v>45549</v>
      </c>
      <c r="D944" s="89">
        <v>0.375</v>
      </c>
      <c r="E944" s="87" t="s">
        <v>58</v>
      </c>
      <c r="F944" s="87" t="s">
        <v>61</v>
      </c>
      <c r="G944" s="87" t="s">
        <v>62</v>
      </c>
      <c r="H944" s="90" t="s">
        <v>3243</v>
      </c>
      <c r="I944" s="90" t="s">
        <v>128</v>
      </c>
      <c r="J944" s="87" t="s">
        <v>173</v>
      </c>
      <c r="K944" s="87"/>
      <c r="L944" s="90" t="s">
        <v>72</v>
      </c>
      <c r="M944" s="90" t="s">
        <v>72</v>
      </c>
      <c r="N944" s="90" t="s">
        <v>72</v>
      </c>
      <c r="O944" s="90" t="str">
        <f>_xlfn.TEXTJOIN(", ",TRUE,$P944:$T944)</f>
        <v>Distrital</v>
      </c>
      <c r="P944" s="87" t="s">
        <v>73</v>
      </c>
      <c r="Q944" s="87"/>
      <c r="R944" s="87"/>
      <c r="S944" s="87"/>
      <c r="T944" s="87"/>
      <c r="U944" s="87"/>
      <c r="V944" s="90" t="str">
        <f>_xlfn.TEXTJOIN(", ",TRUE,$W944:$AB944)</f>
        <v>Ruralidad</v>
      </c>
      <c r="W944" s="87" t="s">
        <v>109</v>
      </c>
      <c r="X944" s="87"/>
      <c r="Y944" s="87"/>
      <c r="Z944" s="87"/>
      <c r="AA944" s="87"/>
      <c r="AB944" s="87"/>
      <c r="AC944" s="90" t="str">
        <f>_xlfn.TEXTJOIN(", ",TRUE,$AD944:$AM944)</f>
        <v>Cuenca del Tunjuelo</v>
      </c>
      <c r="AD944" s="87" t="s">
        <v>112</v>
      </c>
      <c r="AE944" s="87"/>
      <c r="AF944" s="87"/>
      <c r="AG944" s="87"/>
      <c r="AH944" s="87"/>
      <c r="AI944" s="87"/>
      <c r="AJ944" s="87"/>
      <c r="AK944" s="87"/>
      <c r="AL944" s="87"/>
      <c r="AM944" s="87"/>
      <c r="AN944" s="90" t="s">
        <v>109</v>
      </c>
      <c r="AO944" s="90" t="s">
        <v>4326</v>
      </c>
      <c r="AP944" s="82"/>
      <c r="AQ944" s="87" t="s">
        <v>60</v>
      </c>
      <c r="AR944" s="87" t="s">
        <v>2854</v>
      </c>
      <c r="AS944" s="82"/>
      <c r="AT944" s="87">
        <v>54</v>
      </c>
      <c r="AU944" s="87">
        <v>16</v>
      </c>
      <c r="AV944" s="87">
        <f>AT944+AU944</f>
        <v>70</v>
      </c>
      <c r="AW944" s="87" t="str">
        <f>_xlfn.TEXTJOIN(", ",TRUE,$AX944:$AZ944)</f>
        <v>Horarios Acordes</v>
      </c>
      <c r="AX944" s="87" t="s">
        <v>213</v>
      </c>
      <c r="AY944" s="87"/>
      <c r="AZ944" s="87"/>
      <c r="BA944" s="91" t="s">
        <v>4327</v>
      </c>
      <c r="BB944" s="84"/>
      <c r="BC944" s="85"/>
      <c r="BD944" s="85"/>
    </row>
    <row r="945" spans="1:56" s="86" customFormat="1" ht="72" customHeight="1">
      <c r="A945" s="87">
        <v>940</v>
      </c>
      <c r="B945" s="79" t="s">
        <v>4328</v>
      </c>
      <c r="C945" s="88">
        <v>45549</v>
      </c>
      <c r="D945" s="89">
        <v>0.58333333333333337</v>
      </c>
      <c r="E945" s="87" t="s">
        <v>58</v>
      </c>
      <c r="F945" s="87" t="s">
        <v>61</v>
      </c>
      <c r="G945" s="87" t="s">
        <v>62</v>
      </c>
      <c r="H945" s="90" t="s">
        <v>4329</v>
      </c>
      <c r="I945" s="90" t="s">
        <v>172</v>
      </c>
      <c r="J945" s="87" t="s">
        <v>173</v>
      </c>
      <c r="K945" s="87"/>
      <c r="L945" s="90" t="s">
        <v>4330</v>
      </c>
      <c r="M945" s="90" t="s">
        <v>72</v>
      </c>
      <c r="N945" s="90" t="s">
        <v>4331</v>
      </c>
      <c r="O945" s="90" t="str">
        <f t="shared" si="133"/>
        <v>Bosa</v>
      </c>
      <c r="P945" s="87" t="s">
        <v>472</v>
      </c>
      <c r="Q945" s="87"/>
      <c r="R945" s="87"/>
      <c r="S945" s="87"/>
      <c r="T945" s="87"/>
      <c r="U945" s="87"/>
      <c r="V945" s="90" t="str">
        <f t="shared" si="137"/>
        <v>Suroccidente</v>
      </c>
      <c r="W945" s="87" t="s">
        <v>474</v>
      </c>
      <c r="X945" s="87"/>
      <c r="Y945" s="87"/>
      <c r="Z945" s="87"/>
      <c r="AA945" s="87"/>
      <c r="AB945" s="87"/>
      <c r="AC945" s="90" t="str">
        <f t="shared" si="138"/>
        <v>Bosa</v>
      </c>
      <c r="AD945" s="87" t="s">
        <v>472</v>
      </c>
      <c r="AE945" s="87"/>
      <c r="AF945" s="87"/>
      <c r="AG945" s="87"/>
      <c r="AH945" s="87"/>
      <c r="AI945" s="87"/>
      <c r="AJ945" s="87"/>
      <c r="AK945" s="87"/>
      <c r="AL945" s="87"/>
      <c r="AM945" s="87"/>
      <c r="AN945" s="90" t="s">
        <v>4332</v>
      </c>
      <c r="AO945" s="90" t="s">
        <v>4333</v>
      </c>
      <c r="AP945" s="82"/>
      <c r="AQ945" s="87" t="s">
        <v>59</v>
      </c>
      <c r="AR945" s="87" t="s">
        <v>80</v>
      </c>
      <c r="AS945" s="82"/>
      <c r="AT945" s="87">
        <v>22</v>
      </c>
      <c r="AU945" s="87">
        <v>3</v>
      </c>
      <c r="AV945" s="87">
        <f t="shared" ref="AV945:AV946" si="194">AT945+AU945</f>
        <v>25</v>
      </c>
      <c r="AW945" s="87" t="str">
        <f t="shared" ref="AW945" si="195">_xlfn.TEXTJOIN(", ",TRUE,$AX945:$AZ945)</f>
        <v>Horarios Acordes</v>
      </c>
      <c r="AX945" s="87" t="s">
        <v>213</v>
      </c>
      <c r="AY945" s="87"/>
      <c r="AZ945" s="87"/>
      <c r="BA945" s="91" t="s">
        <v>4334</v>
      </c>
      <c r="BB945" s="84"/>
      <c r="BC945" s="85"/>
      <c r="BD945" s="85"/>
    </row>
    <row r="946" spans="1:56" s="86" customFormat="1" ht="72" customHeight="1">
      <c r="A946" s="78">
        <v>941</v>
      </c>
      <c r="B946" s="79" t="s">
        <v>4335</v>
      </c>
      <c r="C946" s="88">
        <v>45549</v>
      </c>
      <c r="D946" s="89">
        <v>0.66666666666666663</v>
      </c>
      <c r="E946" s="87" t="s">
        <v>58</v>
      </c>
      <c r="F946" s="87" t="s">
        <v>1437</v>
      </c>
      <c r="G946" s="87" t="s">
        <v>62</v>
      </c>
      <c r="H946" s="90" t="s">
        <v>4336</v>
      </c>
      <c r="I946" s="90" t="s">
        <v>118</v>
      </c>
      <c r="J946" s="87" t="s">
        <v>816</v>
      </c>
      <c r="K946" s="87"/>
      <c r="L946" s="130" t="s">
        <v>72</v>
      </c>
      <c r="M946" s="130" t="s">
        <v>72</v>
      </c>
      <c r="N946" s="130" t="s">
        <v>72</v>
      </c>
      <c r="O946" s="90" t="str">
        <f t="shared" si="133"/>
        <v>Usme, Sumapaz</v>
      </c>
      <c r="P946" s="87" t="s">
        <v>670</v>
      </c>
      <c r="Q946" s="87" t="s">
        <v>327</v>
      </c>
      <c r="R946" s="87"/>
      <c r="S946" s="87"/>
      <c r="T946" s="87"/>
      <c r="U946" s="87"/>
      <c r="V946" s="90" t="str">
        <f t="shared" si="137"/>
        <v>Suroriente, Ruralidad</v>
      </c>
      <c r="W946" s="87" t="s">
        <v>108</v>
      </c>
      <c r="X946" s="87" t="s">
        <v>109</v>
      </c>
      <c r="Y946" s="87"/>
      <c r="Z946" s="87"/>
      <c r="AA946" s="87"/>
      <c r="AB946" s="87"/>
      <c r="AC946" s="90" t="str">
        <f t="shared" si="138"/>
        <v>Sumapaz, Usme Entrenubes</v>
      </c>
      <c r="AD946" s="87" t="s">
        <v>327</v>
      </c>
      <c r="AE946" s="87" t="s">
        <v>671</v>
      </c>
      <c r="AF946" s="87"/>
      <c r="AG946" s="87"/>
      <c r="AH946" s="87"/>
      <c r="AI946" s="87"/>
      <c r="AJ946" s="87"/>
      <c r="AK946" s="87"/>
      <c r="AL946" s="87"/>
      <c r="AM946" s="87"/>
      <c r="AN946" s="90" t="s">
        <v>80</v>
      </c>
      <c r="AO946" s="90" t="s">
        <v>4337</v>
      </c>
      <c r="AP946" s="82"/>
      <c r="AQ946" s="87" t="s">
        <v>59</v>
      </c>
      <c r="AR946" s="87" t="s">
        <v>80</v>
      </c>
      <c r="AS946" s="82"/>
      <c r="AT946" s="87">
        <v>0</v>
      </c>
      <c r="AU946" s="87">
        <v>3</v>
      </c>
      <c r="AV946" s="87">
        <f t="shared" si="194"/>
        <v>3</v>
      </c>
      <c r="AW946" s="87" t="str">
        <f t="shared" ref="AW946:AW954" si="196">_xlfn.TEXTJOIN(", ",TRUE,$AX946:$AZ946)</f>
        <v>No Aplica</v>
      </c>
      <c r="AX946" s="87" t="s">
        <v>78</v>
      </c>
      <c r="AY946" s="87"/>
      <c r="AZ946" s="87"/>
      <c r="BA946" s="91" t="s">
        <v>4338</v>
      </c>
      <c r="BB946" s="84"/>
      <c r="BC946" s="85"/>
      <c r="BD946" s="85"/>
    </row>
    <row r="947" spans="1:56" s="86" customFormat="1" ht="66" customHeight="1">
      <c r="A947" s="87">
        <v>942</v>
      </c>
      <c r="B947" s="79" t="s">
        <v>4339</v>
      </c>
      <c r="C947" s="88">
        <v>45550</v>
      </c>
      <c r="D947" s="89">
        <v>0.58333333333333337</v>
      </c>
      <c r="E947" s="87" t="s">
        <v>58</v>
      </c>
      <c r="F947" s="87" t="s">
        <v>1437</v>
      </c>
      <c r="G947" s="87" t="s">
        <v>62</v>
      </c>
      <c r="H947" s="90" t="s">
        <v>4340</v>
      </c>
      <c r="I947" s="90" t="s">
        <v>118</v>
      </c>
      <c r="J947" s="87" t="s">
        <v>816</v>
      </c>
      <c r="K947" s="87"/>
      <c r="L947" s="130" t="s">
        <v>72</v>
      </c>
      <c r="M947" s="130" t="s">
        <v>72</v>
      </c>
      <c r="N947" s="130" t="s">
        <v>72</v>
      </c>
      <c r="O947" s="90" t="str">
        <f>_xlfn.TEXTJOIN(", ",TRUE,$P947:$T947)</f>
        <v>Ciudad Bolívar</v>
      </c>
      <c r="P947" s="87" t="s">
        <v>107</v>
      </c>
      <c r="Q947" s="87"/>
      <c r="R947" s="87"/>
      <c r="S947" s="87"/>
      <c r="T947" s="87"/>
      <c r="U947" s="87"/>
      <c r="V947" s="90" t="str">
        <f>_xlfn.TEXTJOIN(", ",TRUE,$W947:$AB947)</f>
        <v>Suroriente</v>
      </c>
      <c r="W947" s="87" t="s">
        <v>108</v>
      </c>
      <c r="X947" s="87"/>
      <c r="Y947" s="87"/>
      <c r="Z947" s="87"/>
      <c r="AA947" s="87"/>
      <c r="AB947" s="87"/>
      <c r="AC947" s="90" t="str">
        <f>_xlfn.TEXTJOIN(", ",TRUE,$AD947:$AM947)</f>
        <v>Arborizadora</v>
      </c>
      <c r="AD947" s="87" t="s">
        <v>110</v>
      </c>
      <c r="AE947" s="87"/>
      <c r="AF947" s="87"/>
      <c r="AG947" s="87"/>
      <c r="AH947" s="87"/>
      <c r="AI947" s="87"/>
      <c r="AJ947" s="87"/>
      <c r="AK947" s="87"/>
      <c r="AL947" s="87"/>
      <c r="AM947" s="87"/>
      <c r="AN947" s="90" t="s">
        <v>80</v>
      </c>
      <c r="AO947" s="79" t="s">
        <v>4341</v>
      </c>
      <c r="AP947" s="82"/>
      <c r="AQ947" s="87" t="s">
        <v>59</v>
      </c>
      <c r="AR947" s="87" t="s">
        <v>80</v>
      </c>
      <c r="AS947" s="82"/>
      <c r="AT947" s="87">
        <v>0</v>
      </c>
      <c r="AU947" s="87">
        <v>9</v>
      </c>
      <c r="AV947" s="87">
        <f>AT947+AU947</f>
        <v>9</v>
      </c>
      <c r="AW947" s="87" t="str">
        <f t="shared" si="196"/>
        <v>No Aplica</v>
      </c>
      <c r="AX947" s="87" t="s">
        <v>78</v>
      </c>
      <c r="AY947" s="87"/>
      <c r="AZ947" s="87"/>
      <c r="BA947" s="91" t="s">
        <v>4342</v>
      </c>
      <c r="BB947" s="84"/>
      <c r="BC947" s="85"/>
      <c r="BD947" s="85"/>
    </row>
    <row r="948" spans="1:56" s="86" customFormat="1" ht="57" customHeight="1">
      <c r="A948" s="78">
        <v>943</v>
      </c>
      <c r="B948" s="79" t="s">
        <v>4343</v>
      </c>
      <c r="C948" s="88">
        <v>45551</v>
      </c>
      <c r="D948" s="89">
        <v>0.33333333333333331</v>
      </c>
      <c r="E948" s="87" t="s">
        <v>58</v>
      </c>
      <c r="F948" s="87" t="s">
        <v>135</v>
      </c>
      <c r="G948" s="87" t="s">
        <v>62</v>
      </c>
      <c r="H948" s="90" t="s">
        <v>4344</v>
      </c>
      <c r="I948" s="90" t="s">
        <v>64</v>
      </c>
      <c r="J948" s="87" t="s">
        <v>816</v>
      </c>
      <c r="K948" s="87"/>
      <c r="L948" s="130" t="s">
        <v>72</v>
      </c>
      <c r="M948" s="130" t="s">
        <v>72</v>
      </c>
      <c r="N948" s="130" t="s">
        <v>72</v>
      </c>
      <c r="O948" s="90" t="str">
        <f>_xlfn.TEXTJOIN(", ",TRUE,$P948:$T948)</f>
        <v>Distrital</v>
      </c>
      <c r="P948" s="87" t="s">
        <v>73</v>
      </c>
      <c r="Q948" s="87"/>
      <c r="R948" s="87"/>
      <c r="S948" s="87"/>
      <c r="T948" s="87"/>
      <c r="U948" s="87"/>
      <c r="V948" s="90" t="str">
        <f>_xlfn.TEXTJOIN(", ",TRUE,$W948:$AB948)</f>
        <v>Distrital</v>
      </c>
      <c r="W948" s="87" t="s">
        <v>73</v>
      </c>
      <c r="X948" s="87"/>
      <c r="Y948" s="87"/>
      <c r="Z948" s="87"/>
      <c r="AA948" s="87"/>
      <c r="AB948" s="87"/>
      <c r="AC948" s="90" t="str">
        <f>_xlfn.TEXTJOIN(", ",TRUE,$AD948:$AM948)</f>
        <v>Distrital</v>
      </c>
      <c r="AD948" s="87" t="s">
        <v>73</v>
      </c>
      <c r="AE948" s="87"/>
      <c r="AF948" s="87"/>
      <c r="AG948" s="87"/>
      <c r="AH948" s="87"/>
      <c r="AI948" s="87"/>
      <c r="AJ948" s="87"/>
      <c r="AK948" s="87"/>
      <c r="AL948" s="87"/>
      <c r="AM948" s="87"/>
      <c r="AN948" s="90" t="s">
        <v>72</v>
      </c>
      <c r="AO948" s="64" t="s">
        <v>4345</v>
      </c>
      <c r="AP948" s="82"/>
      <c r="AQ948" s="87" t="s">
        <v>59</v>
      </c>
      <c r="AR948" s="87" t="s">
        <v>80</v>
      </c>
      <c r="AS948" s="82"/>
      <c r="AT948" s="87">
        <v>0</v>
      </c>
      <c r="AU948" s="87">
        <v>8</v>
      </c>
      <c r="AV948" s="87">
        <f>AT948+AU948</f>
        <v>8</v>
      </c>
      <c r="AW948" s="87" t="str">
        <f t="shared" si="196"/>
        <v>Contenidos adaptados</v>
      </c>
      <c r="AX948" s="87" t="s">
        <v>212</v>
      </c>
      <c r="AY948" s="87"/>
      <c r="AZ948" s="114"/>
      <c r="BA948" s="119" t="s">
        <v>4346</v>
      </c>
      <c r="BB948" s="84"/>
      <c r="BC948" s="85"/>
      <c r="BD948" s="85"/>
    </row>
    <row r="949" spans="1:56" s="86" customFormat="1" ht="57" customHeight="1">
      <c r="A949" s="87">
        <v>944</v>
      </c>
      <c r="B949" s="79" t="s">
        <v>4347</v>
      </c>
      <c r="C949" s="88">
        <v>45551</v>
      </c>
      <c r="D949" s="89">
        <v>0.33333333333333331</v>
      </c>
      <c r="E949" s="87" t="s">
        <v>58</v>
      </c>
      <c r="F949" s="87" t="s">
        <v>1437</v>
      </c>
      <c r="G949" s="87" t="s">
        <v>95</v>
      </c>
      <c r="H949" s="90" t="s">
        <v>4348</v>
      </c>
      <c r="I949" s="90" t="s">
        <v>118</v>
      </c>
      <c r="J949" s="87" t="s">
        <v>173</v>
      </c>
      <c r="K949" s="87"/>
      <c r="L949" s="90" t="s">
        <v>3042</v>
      </c>
      <c r="M949" s="91" t="s">
        <v>3042</v>
      </c>
      <c r="N949" s="90" t="s">
        <v>72</v>
      </c>
      <c r="O949" s="90" t="str">
        <f t="shared" si="133"/>
        <v>Distrital</v>
      </c>
      <c r="P949" s="87" t="s">
        <v>73</v>
      </c>
      <c r="Q949" s="87"/>
      <c r="R949" s="87"/>
      <c r="S949" s="87"/>
      <c r="T949" s="87"/>
      <c r="U949" s="87"/>
      <c r="V949" s="90" t="str">
        <f t="shared" si="137"/>
        <v>Distrital</v>
      </c>
      <c r="W949" s="87" t="s">
        <v>73</v>
      </c>
      <c r="X949" s="87"/>
      <c r="Y949" s="87"/>
      <c r="Z949" s="87"/>
      <c r="AA949" s="87"/>
      <c r="AB949" s="87"/>
      <c r="AC949" s="90" t="str">
        <f t="shared" si="138"/>
        <v>Distrital</v>
      </c>
      <c r="AD949" s="87" t="s">
        <v>73</v>
      </c>
      <c r="AE949" s="87"/>
      <c r="AF949" s="87"/>
      <c r="AG949" s="87"/>
      <c r="AH949" s="87"/>
      <c r="AI949" s="87"/>
      <c r="AJ949" s="87"/>
      <c r="AK949" s="87"/>
      <c r="AL949" s="87"/>
      <c r="AM949" s="87"/>
      <c r="AN949" s="90" t="s">
        <v>80</v>
      </c>
      <c r="AO949" s="102" t="s">
        <v>2667</v>
      </c>
      <c r="AP949" s="82"/>
      <c r="AQ949" s="87" t="s">
        <v>59</v>
      </c>
      <c r="AR949" s="87" t="s">
        <v>80</v>
      </c>
      <c r="AS949" s="82"/>
      <c r="AT949" s="87">
        <v>9</v>
      </c>
      <c r="AU949" s="87">
        <v>8</v>
      </c>
      <c r="AV949" s="87">
        <f t="shared" ref="AV949" si="197">AT949+AU949</f>
        <v>17</v>
      </c>
      <c r="AW949" s="87" t="str">
        <f t="shared" si="196"/>
        <v>Ninguna</v>
      </c>
      <c r="AX949" s="87" t="s">
        <v>75</v>
      </c>
      <c r="AY949" s="87"/>
      <c r="AZ949" s="87"/>
      <c r="BA949" s="91" t="s">
        <v>4349</v>
      </c>
      <c r="BB949" s="84"/>
      <c r="BC949" s="85"/>
      <c r="BD949" s="85"/>
    </row>
    <row r="950" spans="1:56" s="86" customFormat="1" ht="57" customHeight="1">
      <c r="A950" s="78">
        <v>945</v>
      </c>
      <c r="B950" s="79" t="s">
        <v>4350</v>
      </c>
      <c r="C950" s="88">
        <v>45551</v>
      </c>
      <c r="D950" s="89">
        <v>0.33333333333333331</v>
      </c>
      <c r="E950" s="87" t="s">
        <v>58</v>
      </c>
      <c r="F950" s="87" t="s">
        <v>1437</v>
      </c>
      <c r="G950" s="87" t="s">
        <v>62</v>
      </c>
      <c r="H950" s="90" t="s">
        <v>4351</v>
      </c>
      <c r="I950" s="90" t="s">
        <v>118</v>
      </c>
      <c r="J950" s="87" t="s">
        <v>816</v>
      </c>
      <c r="K950" s="87"/>
      <c r="L950" s="87" t="s">
        <v>4352</v>
      </c>
      <c r="M950" s="87">
        <v>3204878785</v>
      </c>
      <c r="N950" s="87" t="s">
        <v>3042</v>
      </c>
      <c r="O950" s="90" t="str">
        <f t="shared" si="133"/>
        <v>Chapinero</v>
      </c>
      <c r="P950" s="87" t="s">
        <v>221</v>
      </c>
      <c r="Q950" s="87"/>
      <c r="R950" s="87"/>
      <c r="S950" s="87"/>
      <c r="T950" s="87"/>
      <c r="U950" s="87"/>
      <c r="V950" s="90" t="str">
        <f t="shared" si="137"/>
        <v>Ruralidad</v>
      </c>
      <c r="W950" s="87" t="s">
        <v>109</v>
      </c>
      <c r="X950" s="87"/>
      <c r="Y950" s="87"/>
      <c r="Z950" s="87"/>
      <c r="AA950" s="87"/>
      <c r="AB950" s="87"/>
      <c r="AC950" s="90" t="str">
        <f t="shared" si="138"/>
        <v>Chapinero, Cerros Orientales</v>
      </c>
      <c r="AD950" s="87" t="s">
        <v>221</v>
      </c>
      <c r="AE950" s="87" t="s">
        <v>222</v>
      </c>
      <c r="AF950" s="87"/>
      <c r="AG950" s="87"/>
      <c r="AH950" s="87"/>
      <c r="AI950" s="87"/>
      <c r="AJ950" s="87"/>
      <c r="AK950" s="87"/>
      <c r="AL950" s="87"/>
      <c r="AM950" s="87"/>
      <c r="AN950" s="90" t="s">
        <v>4353</v>
      </c>
      <c r="AO950" s="90" t="s">
        <v>4354</v>
      </c>
      <c r="AP950" s="82"/>
      <c r="AQ950" s="87" t="s">
        <v>59</v>
      </c>
      <c r="AR950" s="87" t="s">
        <v>80</v>
      </c>
      <c r="AS950" s="82"/>
      <c r="AT950" s="87">
        <v>0</v>
      </c>
      <c r="AU950" s="87">
        <v>3</v>
      </c>
      <c r="AV950" s="87">
        <f t="shared" ref="AV950:AV951" si="198">AT950+AU950</f>
        <v>3</v>
      </c>
      <c r="AW950" s="87" t="str">
        <f t="shared" si="196"/>
        <v>No Aplica</v>
      </c>
      <c r="AX950" s="87" t="s">
        <v>78</v>
      </c>
      <c r="AY950" s="87"/>
      <c r="AZ950" s="87"/>
      <c r="BA950" s="91" t="s">
        <v>4355</v>
      </c>
      <c r="BB950" s="84"/>
      <c r="BC950" s="85"/>
      <c r="BD950" s="85"/>
    </row>
    <row r="951" spans="1:56" s="86" customFormat="1" ht="57" customHeight="1">
      <c r="A951" s="87">
        <v>946</v>
      </c>
      <c r="B951" s="79" t="s">
        <v>4356</v>
      </c>
      <c r="C951" s="88">
        <v>45551</v>
      </c>
      <c r="D951" s="89">
        <v>0.39583333333333331</v>
      </c>
      <c r="E951" s="87" t="s">
        <v>58</v>
      </c>
      <c r="F951" s="87" t="s">
        <v>61</v>
      </c>
      <c r="G951" s="87" t="s">
        <v>95</v>
      </c>
      <c r="H951" s="90" t="s">
        <v>4357</v>
      </c>
      <c r="I951" s="90" t="s">
        <v>64</v>
      </c>
      <c r="J951" s="87" t="s">
        <v>173</v>
      </c>
      <c r="K951" s="87"/>
      <c r="L951" s="137" t="s">
        <v>72</v>
      </c>
      <c r="M951" s="137" t="s">
        <v>72</v>
      </c>
      <c r="N951" s="137" t="s">
        <v>72</v>
      </c>
      <c r="O951" s="90" t="str">
        <f t="shared" si="133"/>
        <v>Distrital</v>
      </c>
      <c r="P951" s="87" t="s">
        <v>73</v>
      </c>
      <c r="Q951" s="87"/>
      <c r="R951" s="87"/>
      <c r="S951" s="87"/>
      <c r="T951" s="87"/>
      <c r="U951" s="87"/>
      <c r="V951" s="90" t="str">
        <f t="shared" si="137"/>
        <v>Distrital</v>
      </c>
      <c r="W951" s="87" t="s">
        <v>73</v>
      </c>
      <c r="X951" s="87"/>
      <c r="Y951" s="87"/>
      <c r="Z951" s="87"/>
      <c r="AA951" s="87"/>
      <c r="AB951" s="87"/>
      <c r="AC951" s="90" t="str">
        <f t="shared" si="138"/>
        <v>Distrital</v>
      </c>
      <c r="AD951" s="87" t="s">
        <v>73</v>
      </c>
      <c r="AE951" s="87"/>
      <c r="AF951" s="87"/>
      <c r="AG951" s="87"/>
      <c r="AH951" s="87"/>
      <c r="AI951" s="87"/>
      <c r="AJ951" s="87"/>
      <c r="AK951" s="87"/>
      <c r="AL951" s="87"/>
      <c r="AM951" s="87"/>
      <c r="AN951" s="90" t="s">
        <v>160</v>
      </c>
      <c r="AO951" s="65" t="s">
        <v>2667</v>
      </c>
      <c r="AP951" s="82"/>
      <c r="AQ951" s="87" t="s">
        <v>60</v>
      </c>
      <c r="AR951" s="87" t="s">
        <v>77</v>
      </c>
      <c r="AS951" s="82"/>
      <c r="AT951" s="87">
        <v>0</v>
      </c>
      <c r="AU951" s="87">
        <v>15</v>
      </c>
      <c r="AV951" s="87">
        <f t="shared" si="198"/>
        <v>15</v>
      </c>
      <c r="AW951" s="87" t="str">
        <f t="shared" si="196"/>
        <v>No Aplica</v>
      </c>
      <c r="AX951" s="87" t="s">
        <v>78</v>
      </c>
      <c r="AY951" s="87"/>
      <c r="AZ951" s="114"/>
      <c r="BA951" s="115" t="s">
        <v>4358</v>
      </c>
      <c r="BB951" s="84"/>
      <c r="BC951" s="85"/>
      <c r="BD951" s="85"/>
    </row>
    <row r="952" spans="1:56" s="86" customFormat="1" ht="57" customHeight="1">
      <c r="A952" s="78">
        <v>947</v>
      </c>
      <c r="B952" s="79" t="s">
        <v>4011</v>
      </c>
      <c r="C952" s="88">
        <v>45551</v>
      </c>
      <c r="D952" s="89">
        <v>0.45833333333333331</v>
      </c>
      <c r="E952" s="87" t="s">
        <v>58</v>
      </c>
      <c r="F952" s="87" t="s">
        <v>2207</v>
      </c>
      <c r="G952" s="87" t="s">
        <v>62</v>
      </c>
      <c r="H952" s="90" t="s">
        <v>4168</v>
      </c>
      <c r="I952" s="90" t="s">
        <v>118</v>
      </c>
      <c r="J952" s="87" t="s">
        <v>173</v>
      </c>
      <c r="K952" s="87"/>
      <c r="L952" s="130" t="s">
        <v>80</v>
      </c>
      <c r="M952" s="130" t="s">
        <v>80</v>
      </c>
      <c r="N952" s="130" t="s">
        <v>80</v>
      </c>
      <c r="O952" s="90" t="str">
        <f>_xlfn.TEXTJOIN(", ",TRUE,$P952:$T952)</f>
        <v>Distrital</v>
      </c>
      <c r="P952" s="87" t="s">
        <v>73</v>
      </c>
      <c r="Q952" s="87"/>
      <c r="R952" s="87"/>
      <c r="S952" s="87"/>
      <c r="T952" s="87"/>
      <c r="U952" s="87"/>
      <c r="V952" s="90" t="str">
        <f>_xlfn.TEXTJOIN(", ",TRUE,$W952:$AB952)</f>
        <v>Distrital</v>
      </c>
      <c r="W952" s="87" t="s">
        <v>73</v>
      </c>
      <c r="X952" s="87"/>
      <c r="Y952" s="87"/>
      <c r="Z952" s="87"/>
      <c r="AA952" s="87"/>
      <c r="AB952" s="87"/>
      <c r="AC952" s="90" t="str">
        <f>_xlfn.TEXTJOIN(", ",TRUE,$AD952:$AM952)</f>
        <v>Distrital</v>
      </c>
      <c r="AD952" s="87" t="s">
        <v>73</v>
      </c>
      <c r="AE952" s="87"/>
      <c r="AF952" s="87"/>
      <c r="AG952" s="87"/>
      <c r="AH952" s="87"/>
      <c r="AI952" s="87"/>
      <c r="AJ952" s="87"/>
      <c r="AK952" s="87"/>
      <c r="AL952" s="87"/>
      <c r="AM952" s="87"/>
      <c r="AN952" s="90" t="s">
        <v>80</v>
      </c>
      <c r="AO952" s="138" t="s">
        <v>4359</v>
      </c>
      <c r="AP952" s="82"/>
      <c r="AQ952" s="87" t="s">
        <v>59</v>
      </c>
      <c r="AR952" s="87" t="s">
        <v>80</v>
      </c>
      <c r="AS952" s="82"/>
      <c r="AT952" s="87">
        <v>0</v>
      </c>
      <c r="AU952" s="87">
        <v>9</v>
      </c>
      <c r="AV952" s="87">
        <f>AT952+AU952</f>
        <v>9</v>
      </c>
      <c r="AW952" s="87" t="str">
        <f t="shared" si="196"/>
        <v>No Aplica</v>
      </c>
      <c r="AX952" s="87" t="s">
        <v>78</v>
      </c>
      <c r="AY952" s="87"/>
      <c r="AZ952" s="114"/>
      <c r="BA952" s="119" t="s">
        <v>4360</v>
      </c>
      <c r="BB952" s="84"/>
      <c r="BC952" s="85"/>
      <c r="BD952" s="85"/>
    </row>
    <row r="953" spans="1:56" s="86" customFormat="1" ht="57" customHeight="1">
      <c r="A953" s="87">
        <v>948</v>
      </c>
      <c r="B953" s="79" t="s">
        <v>4361</v>
      </c>
      <c r="C953" s="88">
        <v>45551</v>
      </c>
      <c r="D953" s="89">
        <v>0.58333333333333337</v>
      </c>
      <c r="E953" s="87" t="s">
        <v>58</v>
      </c>
      <c r="F953" s="87" t="s">
        <v>1437</v>
      </c>
      <c r="G953" s="87" t="s">
        <v>95</v>
      </c>
      <c r="H953" s="90" t="s">
        <v>4362</v>
      </c>
      <c r="I953" s="90" t="s">
        <v>118</v>
      </c>
      <c r="J953" s="87" t="s">
        <v>173</v>
      </c>
      <c r="K953" s="87"/>
      <c r="L953" s="87" t="s">
        <v>80</v>
      </c>
      <c r="M953" s="87" t="s">
        <v>80</v>
      </c>
      <c r="N953" s="87" t="s">
        <v>80</v>
      </c>
      <c r="O953" s="90" t="str">
        <f t="shared" si="133"/>
        <v>Distrital</v>
      </c>
      <c r="P953" s="87" t="s">
        <v>73</v>
      </c>
      <c r="Q953" s="87"/>
      <c r="R953" s="87"/>
      <c r="S953" s="87"/>
      <c r="T953" s="87"/>
      <c r="U953" s="87"/>
      <c r="V953" s="90" t="str">
        <f t="shared" si="137"/>
        <v>Distrital</v>
      </c>
      <c r="W953" s="87" t="s">
        <v>73</v>
      </c>
      <c r="X953" s="87"/>
      <c r="Y953" s="87"/>
      <c r="Z953" s="87"/>
      <c r="AA953" s="87"/>
      <c r="AB953" s="87"/>
      <c r="AC953" s="90" t="str">
        <f t="shared" si="138"/>
        <v>Distrital</v>
      </c>
      <c r="AD953" s="87" t="s">
        <v>73</v>
      </c>
      <c r="AE953" s="87"/>
      <c r="AF953" s="87"/>
      <c r="AG953" s="87"/>
      <c r="AH953" s="87"/>
      <c r="AI953" s="87"/>
      <c r="AJ953" s="87"/>
      <c r="AK953" s="87"/>
      <c r="AL953" s="87"/>
      <c r="AM953" s="87"/>
      <c r="AN953" s="90" t="s">
        <v>80</v>
      </c>
      <c r="AO953" s="102" t="s">
        <v>2667</v>
      </c>
      <c r="AP953" s="82"/>
      <c r="AQ953" s="87" t="s">
        <v>59</v>
      </c>
      <c r="AR953" s="87" t="s">
        <v>80</v>
      </c>
      <c r="AS953" s="82"/>
      <c r="AT953" s="87">
        <v>4</v>
      </c>
      <c r="AU953" s="87">
        <v>4</v>
      </c>
      <c r="AV953" s="87">
        <f t="shared" ref="AV953:AV955" si="199">AT953+AU953</f>
        <v>8</v>
      </c>
      <c r="AW953" s="87" t="str">
        <f t="shared" si="196"/>
        <v>Ninguna</v>
      </c>
      <c r="AX953" s="87" t="s">
        <v>75</v>
      </c>
      <c r="AY953" s="87"/>
      <c r="AZ953" s="87"/>
      <c r="BA953" s="91" t="s">
        <v>4363</v>
      </c>
      <c r="BB953" s="84"/>
      <c r="BC953" s="85"/>
      <c r="BD953" s="85"/>
    </row>
    <row r="954" spans="1:56" s="86" customFormat="1" ht="57" customHeight="1">
      <c r="A954" s="78">
        <v>949</v>
      </c>
      <c r="B954" s="79" t="s">
        <v>4364</v>
      </c>
      <c r="C954" s="88">
        <v>45551</v>
      </c>
      <c r="D954" s="89">
        <v>0.625</v>
      </c>
      <c r="E954" s="87" t="s">
        <v>58</v>
      </c>
      <c r="F954" s="87" t="s">
        <v>1437</v>
      </c>
      <c r="G954" s="87" t="s">
        <v>62</v>
      </c>
      <c r="H954" s="90" t="s">
        <v>4365</v>
      </c>
      <c r="I954" s="90" t="s">
        <v>118</v>
      </c>
      <c r="J954" s="87" t="s">
        <v>173</v>
      </c>
      <c r="K954" s="87"/>
      <c r="L954" s="137" t="s">
        <v>80</v>
      </c>
      <c r="M954" s="137" t="s">
        <v>80</v>
      </c>
      <c r="N954" s="137" t="s">
        <v>80</v>
      </c>
      <c r="O954" s="90" t="str">
        <f t="shared" si="133"/>
        <v>Distrital</v>
      </c>
      <c r="P954" s="87" t="s">
        <v>73</v>
      </c>
      <c r="Q954" s="87"/>
      <c r="R954" s="87"/>
      <c r="S954" s="87"/>
      <c r="T954" s="87"/>
      <c r="U954" s="87"/>
      <c r="V954" s="90" t="str">
        <f t="shared" si="137"/>
        <v>Distrital</v>
      </c>
      <c r="W954" s="87" t="s">
        <v>73</v>
      </c>
      <c r="X954" s="87"/>
      <c r="Y954" s="87"/>
      <c r="Z954" s="87"/>
      <c r="AA954" s="87"/>
      <c r="AB954" s="87"/>
      <c r="AC954" s="90" t="str">
        <f t="shared" si="138"/>
        <v>Distrital</v>
      </c>
      <c r="AD954" s="87" t="s">
        <v>73</v>
      </c>
      <c r="AE954" s="87"/>
      <c r="AF954" s="87"/>
      <c r="AG954" s="87"/>
      <c r="AH954" s="87"/>
      <c r="AI954" s="87"/>
      <c r="AJ954" s="87"/>
      <c r="AK954" s="87"/>
      <c r="AL954" s="87"/>
      <c r="AM954" s="87"/>
      <c r="AN954" s="90" t="s">
        <v>4366</v>
      </c>
      <c r="AO954" s="63" t="s">
        <v>4367</v>
      </c>
      <c r="AP954" s="82"/>
      <c r="AQ954" s="87" t="s">
        <v>59</v>
      </c>
      <c r="AR954" s="87" t="s">
        <v>80</v>
      </c>
      <c r="AS954" s="82"/>
      <c r="AT954" s="87">
        <v>6</v>
      </c>
      <c r="AU954" s="87">
        <v>3</v>
      </c>
      <c r="AV954" s="87">
        <f t="shared" si="199"/>
        <v>9</v>
      </c>
      <c r="AW954" s="87" t="str">
        <f t="shared" si="196"/>
        <v>No Aplica</v>
      </c>
      <c r="AX954" s="87" t="s">
        <v>78</v>
      </c>
      <c r="AY954" s="87"/>
      <c r="AZ954" s="114"/>
      <c r="BA954" s="115" t="s">
        <v>4368</v>
      </c>
      <c r="BB954" s="84"/>
      <c r="BC954" s="85"/>
      <c r="BD954" s="85"/>
    </row>
    <row r="955" spans="1:56" s="86" customFormat="1" ht="57" customHeight="1">
      <c r="A955" s="87">
        <v>950</v>
      </c>
      <c r="B955" s="79" t="s">
        <v>4369</v>
      </c>
      <c r="C955" s="88">
        <v>45551</v>
      </c>
      <c r="D955" s="89">
        <v>0.64583333333333337</v>
      </c>
      <c r="E955" s="87" t="s">
        <v>58</v>
      </c>
      <c r="F955" s="87" t="s">
        <v>1142</v>
      </c>
      <c r="G955" s="87" t="s">
        <v>95</v>
      </c>
      <c r="H955" s="90" t="s">
        <v>4370</v>
      </c>
      <c r="I955" s="90" t="s">
        <v>118</v>
      </c>
      <c r="J955" s="87" t="s">
        <v>119</v>
      </c>
      <c r="K955" s="87" t="s">
        <v>209</v>
      </c>
      <c r="L955" s="115" t="s">
        <v>4371</v>
      </c>
      <c r="M955" s="115" t="s">
        <v>4311</v>
      </c>
      <c r="N955" s="115" t="s">
        <v>4312</v>
      </c>
      <c r="O955" s="90" t="str">
        <f t="shared" ca="1" si="133"/>
        <v>Distrital</v>
      </c>
      <c r="P955" s="90">
        <f ca="1">_xlfn.TEXTJOIN(", ",TRUE,$P955:$T955)</f>
        <v>0</v>
      </c>
      <c r="Q955" s="87"/>
      <c r="R955" s="87"/>
      <c r="S955" s="87"/>
      <c r="T955" s="87"/>
      <c r="U955" s="87"/>
      <c r="V955" s="90" t="str">
        <f t="shared" si="137"/>
        <v>Distrital</v>
      </c>
      <c r="W955" s="87" t="s">
        <v>73</v>
      </c>
      <c r="X955" s="87"/>
      <c r="Y955" s="87"/>
      <c r="Z955" s="87"/>
      <c r="AA955" s="87"/>
      <c r="AB955" s="87"/>
      <c r="AC955" s="90" t="str">
        <f t="shared" si="138"/>
        <v>Distrital</v>
      </c>
      <c r="AD955" s="87" t="s">
        <v>73</v>
      </c>
      <c r="AE955" s="87"/>
      <c r="AF955" s="87"/>
      <c r="AG955" s="87"/>
      <c r="AH955" s="87"/>
      <c r="AI955" s="87"/>
      <c r="AJ955" s="87"/>
      <c r="AK955" s="87"/>
      <c r="AL955" s="87"/>
      <c r="AM955" s="87"/>
      <c r="AN955" s="90" t="s">
        <v>80</v>
      </c>
      <c r="AO955" s="65" t="s">
        <v>2667</v>
      </c>
      <c r="AP955" s="82"/>
      <c r="AQ955" s="87" t="s">
        <v>59</v>
      </c>
      <c r="AR955" s="87" t="s">
        <v>80</v>
      </c>
      <c r="AS955" s="82"/>
      <c r="AT955" s="87">
        <v>0</v>
      </c>
      <c r="AU955" s="87">
        <v>5</v>
      </c>
      <c r="AV955" s="87">
        <f t="shared" si="199"/>
        <v>5</v>
      </c>
      <c r="AW955" s="87" t="str">
        <f t="shared" ref="AW955:AW962" si="200">_xlfn.TEXTJOIN(", ",TRUE,$AX955:$AZ955)</f>
        <v>Ninguna</v>
      </c>
      <c r="AX955" s="87" t="s">
        <v>75</v>
      </c>
      <c r="AY955" s="87"/>
      <c r="AZ955" s="114"/>
      <c r="BA955" s="115" t="s">
        <v>4372</v>
      </c>
      <c r="BB955" s="84"/>
      <c r="BC955" s="85"/>
      <c r="BD955" s="85"/>
    </row>
    <row r="956" spans="1:56" s="86" customFormat="1" ht="57" customHeight="1">
      <c r="A956" s="78">
        <v>951</v>
      </c>
      <c r="B956" s="79" t="s">
        <v>4373</v>
      </c>
      <c r="C956" s="88">
        <v>45551</v>
      </c>
      <c r="D956" s="89">
        <v>0.70833333333333337</v>
      </c>
      <c r="E956" s="87" t="s">
        <v>93</v>
      </c>
      <c r="F956" s="87" t="s">
        <v>102</v>
      </c>
      <c r="G956" s="87" t="s">
        <v>95</v>
      </c>
      <c r="H956" s="90" t="s">
        <v>4374</v>
      </c>
      <c r="I956" s="90" t="s">
        <v>118</v>
      </c>
      <c r="J956" s="87" t="s">
        <v>119</v>
      </c>
      <c r="K956" s="87" t="s">
        <v>129</v>
      </c>
      <c r="L956" s="115" t="s">
        <v>4375</v>
      </c>
      <c r="M956" s="115" t="s">
        <v>2729</v>
      </c>
      <c r="N956" s="115" t="s">
        <v>692</v>
      </c>
      <c r="O956" s="90" t="str">
        <f>_xlfn.TEXTJOIN(", ",TRUE,$P956:$T956)</f>
        <v>Distrital</v>
      </c>
      <c r="P956" s="87" t="s">
        <v>73</v>
      </c>
      <c r="Q956" s="87"/>
      <c r="R956" s="87"/>
      <c r="S956" s="87"/>
      <c r="T956" s="87"/>
      <c r="U956" s="87"/>
      <c r="V956" s="90" t="str">
        <f>_xlfn.TEXTJOIN(", ",TRUE,$W956:$AB956)</f>
        <v>Distrital</v>
      </c>
      <c r="W956" s="87" t="s">
        <v>73</v>
      </c>
      <c r="X956" s="87"/>
      <c r="Y956" s="87"/>
      <c r="Z956" s="87"/>
      <c r="AA956" s="87"/>
      <c r="AB956" s="87"/>
      <c r="AC956" s="90" t="str">
        <f>_xlfn.TEXTJOIN(", ",TRUE,$AD956:$AM956)</f>
        <v>Distrital</v>
      </c>
      <c r="AD956" s="87" t="s">
        <v>73</v>
      </c>
      <c r="AE956" s="87"/>
      <c r="AF956" s="87"/>
      <c r="AG956" s="87"/>
      <c r="AH956" s="87"/>
      <c r="AI956" s="87"/>
      <c r="AJ956" s="87"/>
      <c r="AK956" s="87"/>
      <c r="AL956" s="87"/>
      <c r="AM956" s="87"/>
      <c r="AN956" s="90" t="s">
        <v>80</v>
      </c>
      <c r="AO956" s="65" t="s">
        <v>2667</v>
      </c>
      <c r="AP956" s="82"/>
      <c r="AQ956" s="87" t="s">
        <v>59</v>
      </c>
      <c r="AR956" s="87" t="s">
        <v>80</v>
      </c>
      <c r="AS956" s="82"/>
      <c r="AT956" s="87">
        <v>13</v>
      </c>
      <c r="AU956" s="87">
        <v>1</v>
      </c>
      <c r="AV956" s="87">
        <f>AT956+AU956</f>
        <v>14</v>
      </c>
      <c r="AW956" s="87" t="str">
        <f t="shared" si="200"/>
        <v>Ninguna</v>
      </c>
      <c r="AX956" s="87" t="s">
        <v>75</v>
      </c>
      <c r="AY956" s="87"/>
      <c r="AZ956" s="114"/>
      <c r="BA956" s="115" t="s">
        <v>4376</v>
      </c>
      <c r="BB956" s="84"/>
      <c r="BC956" s="85"/>
      <c r="BD956" s="85"/>
    </row>
    <row r="957" spans="1:56" s="86" customFormat="1" ht="57" customHeight="1">
      <c r="A957" s="87">
        <v>952</v>
      </c>
      <c r="B957" s="79" t="s">
        <v>1482</v>
      </c>
      <c r="C957" s="88">
        <v>45552</v>
      </c>
      <c r="D957" s="89">
        <v>0.375</v>
      </c>
      <c r="E957" s="87" t="s">
        <v>93</v>
      </c>
      <c r="F957" s="87" t="s">
        <v>321</v>
      </c>
      <c r="G957" s="87" t="s">
        <v>62</v>
      </c>
      <c r="H957" s="90" t="s">
        <v>820</v>
      </c>
      <c r="I957" s="90" t="s">
        <v>118</v>
      </c>
      <c r="J957" s="87" t="s">
        <v>70</v>
      </c>
      <c r="K957" s="87" t="s">
        <v>1810</v>
      </c>
      <c r="L957" s="130" t="s">
        <v>2214</v>
      </c>
      <c r="M957" s="139" t="s">
        <v>72</v>
      </c>
      <c r="N957" s="130" t="s">
        <v>2215</v>
      </c>
      <c r="O957" s="90" t="str">
        <f t="shared" ref="O957" si="201">_xlfn.TEXTJOIN(", ",TRUE,$P957:$T957)</f>
        <v>Puente Aranda</v>
      </c>
      <c r="P957" s="87" t="s">
        <v>823</v>
      </c>
      <c r="Q957" s="87"/>
      <c r="R957" s="87"/>
      <c r="S957" s="87"/>
      <c r="T957" s="87"/>
      <c r="U957" s="87"/>
      <c r="V957" s="90" t="str">
        <f t="shared" ref="V957" si="202">_xlfn.TEXTJOIN(", ",TRUE,$W957:$AB957)</f>
        <v>Centro Ampliado</v>
      </c>
      <c r="W957" s="87" t="s">
        <v>415</v>
      </c>
      <c r="X957" s="87"/>
      <c r="Y957" s="87"/>
      <c r="Z957" s="87"/>
      <c r="AA957" s="87"/>
      <c r="AB957" s="87"/>
      <c r="AC957" s="90" t="str">
        <f t="shared" ref="AC957" si="203">_xlfn.TEXTJOIN(", ",TRUE,$AD957:$AM957)</f>
        <v>Puente Aranda</v>
      </c>
      <c r="AD957" s="87" t="s">
        <v>823</v>
      </c>
      <c r="AE957" s="87"/>
      <c r="AF957" s="87"/>
      <c r="AG957" s="87"/>
      <c r="AH957" s="87"/>
      <c r="AI957" s="87"/>
      <c r="AJ957" s="87"/>
      <c r="AK957" s="87"/>
      <c r="AL957" s="87"/>
      <c r="AM957" s="87"/>
      <c r="AN957" s="90" t="s">
        <v>4377</v>
      </c>
      <c r="AO957" s="64" t="s">
        <v>4378</v>
      </c>
      <c r="AP957" s="82"/>
      <c r="AQ957" s="87" t="s">
        <v>59</v>
      </c>
      <c r="AR957" s="87" t="s">
        <v>80</v>
      </c>
      <c r="AS957" s="82"/>
      <c r="AT957" s="87">
        <v>16</v>
      </c>
      <c r="AU957" s="87">
        <v>1</v>
      </c>
      <c r="AV957" s="87">
        <f t="shared" ref="AV957" si="204">AT957+AU957</f>
        <v>17</v>
      </c>
      <c r="AW957" s="87" t="str">
        <f t="shared" si="200"/>
        <v>Ninguna</v>
      </c>
      <c r="AX957" s="87" t="s">
        <v>75</v>
      </c>
      <c r="AY957" s="87"/>
      <c r="AZ957" s="114"/>
      <c r="BA957" s="119" t="s">
        <v>4379</v>
      </c>
      <c r="BB957" s="84"/>
      <c r="BC957" s="85"/>
      <c r="BD957" s="85"/>
    </row>
    <row r="958" spans="1:56" s="86" customFormat="1" ht="57" customHeight="1">
      <c r="A958" s="78">
        <v>953</v>
      </c>
      <c r="B958" s="79" t="s">
        <v>4380</v>
      </c>
      <c r="C958" s="132">
        <v>45552</v>
      </c>
      <c r="D958" s="133">
        <v>0.41666666666666669</v>
      </c>
      <c r="E958" s="134" t="s">
        <v>58</v>
      </c>
      <c r="F958" s="134" t="s">
        <v>1437</v>
      </c>
      <c r="G958" s="134" t="s">
        <v>95</v>
      </c>
      <c r="H958" s="94" t="s">
        <v>4381</v>
      </c>
      <c r="I958" s="94" t="s">
        <v>118</v>
      </c>
      <c r="J958" s="134" t="s">
        <v>173</v>
      </c>
      <c r="K958" s="134"/>
      <c r="L958" s="87" t="s">
        <v>3042</v>
      </c>
      <c r="M958" s="87" t="s">
        <v>3042</v>
      </c>
      <c r="N958" s="87" t="s">
        <v>3042</v>
      </c>
      <c r="O958" s="94" t="str">
        <f>_xlfn.TEXTJOIN(", ",TRUE,$P958:$T958)</f>
        <v>Distrital</v>
      </c>
      <c r="P958" s="134" t="s">
        <v>73</v>
      </c>
      <c r="Q958" s="134"/>
      <c r="R958" s="134"/>
      <c r="S958" s="134"/>
      <c r="T958" s="134"/>
      <c r="U958" s="134"/>
      <c r="V958" s="94" t="str">
        <f>_xlfn.TEXTJOIN(", ",TRUE,$W958:$AB958)</f>
        <v>Distrital</v>
      </c>
      <c r="W958" s="134" t="s">
        <v>73</v>
      </c>
      <c r="X958" s="134"/>
      <c r="Y958" s="134"/>
      <c r="Z958" s="134"/>
      <c r="AA958" s="134"/>
      <c r="AB958" s="134"/>
      <c r="AC958" s="94" t="str">
        <f>_xlfn.TEXTJOIN(", ",TRUE,$AD958:$AM958)</f>
        <v>Distrital</v>
      </c>
      <c r="AD958" s="134" t="s">
        <v>73</v>
      </c>
      <c r="AE958" s="134"/>
      <c r="AF958" s="134"/>
      <c r="AG958" s="134"/>
      <c r="AH958" s="134"/>
      <c r="AI958" s="134"/>
      <c r="AJ958" s="134"/>
      <c r="AK958" s="134"/>
      <c r="AL958" s="134"/>
      <c r="AM958" s="134"/>
      <c r="AN958" s="94" t="s">
        <v>80</v>
      </c>
      <c r="AO958" s="65" t="s">
        <v>2667</v>
      </c>
      <c r="AP958" s="84"/>
      <c r="AQ958" s="134" t="s">
        <v>59</v>
      </c>
      <c r="AR958" s="134" t="s">
        <v>80</v>
      </c>
      <c r="AS958" s="84"/>
      <c r="AT958" s="134">
        <v>2</v>
      </c>
      <c r="AU958" s="134">
        <v>4</v>
      </c>
      <c r="AV958" s="134">
        <f>AT958+AU958</f>
        <v>6</v>
      </c>
      <c r="AW958" s="87" t="str">
        <f t="shared" si="200"/>
        <v>Ninguna</v>
      </c>
      <c r="AX958" s="134" t="s">
        <v>75</v>
      </c>
      <c r="AY958" s="134"/>
      <c r="AZ958" s="136"/>
      <c r="BA958" s="119" t="s">
        <v>4382</v>
      </c>
      <c r="BB958" s="84"/>
      <c r="BC958" s="85"/>
      <c r="BD958" s="85"/>
    </row>
    <row r="959" spans="1:56" s="86" customFormat="1" ht="57" customHeight="1">
      <c r="A959" s="87">
        <v>954</v>
      </c>
      <c r="B959" s="90" t="s">
        <v>1726</v>
      </c>
      <c r="C959" s="88">
        <v>45552</v>
      </c>
      <c r="D959" s="89">
        <v>0.70833333333333337</v>
      </c>
      <c r="E959" s="87" t="s">
        <v>93</v>
      </c>
      <c r="F959" s="87" t="s">
        <v>102</v>
      </c>
      <c r="G959" s="87" t="s">
        <v>95</v>
      </c>
      <c r="H959" s="90" t="s">
        <v>4383</v>
      </c>
      <c r="I959" s="90" t="s">
        <v>118</v>
      </c>
      <c r="J959" s="87" t="s">
        <v>119</v>
      </c>
      <c r="K959" s="87" t="s">
        <v>129</v>
      </c>
      <c r="L959" s="90" t="s">
        <v>4184</v>
      </c>
      <c r="M959" s="91" t="s">
        <v>3950</v>
      </c>
      <c r="N959" s="90" t="s">
        <v>736</v>
      </c>
      <c r="O959" s="90" t="str">
        <f>_xlfn.TEXTJOIN(", ",TRUE,$P959:$T959)</f>
        <v>Distrital</v>
      </c>
      <c r="P959" s="87" t="s">
        <v>73</v>
      </c>
      <c r="Q959" s="87"/>
      <c r="R959" s="87"/>
      <c r="S959" s="87"/>
      <c r="T959" s="87"/>
      <c r="U959" s="87"/>
      <c r="V959" s="90" t="str">
        <f>_xlfn.TEXTJOIN(", ",TRUE,$W959:$AB959)</f>
        <v>Distrital</v>
      </c>
      <c r="W959" s="87" t="s">
        <v>73</v>
      </c>
      <c r="X959" s="87"/>
      <c r="Y959" s="87"/>
      <c r="Z959" s="87"/>
      <c r="AA959" s="87"/>
      <c r="AB959" s="87"/>
      <c r="AC959" s="90" t="str">
        <f>_xlfn.TEXTJOIN(", ",TRUE,$AD959:$AM959)</f>
        <v>Distrital</v>
      </c>
      <c r="AD959" s="87" t="s">
        <v>73</v>
      </c>
      <c r="AE959" s="87"/>
      <c r="AF959" s="87"/>
      <c r="AG959" s="87"/>
      <c r="AH959" s="87"/>
      <c r="AI959" s="87"/>
      <c r="AJ959" s="87"/>
      <c r="AK959" s="87"/>
      <c r="AL959" s="87"/>
      <c r="AM959" s="87"/>
      <c r="AN959" s="90" t="s">
        <v>80</v>
      </c>
      <c r="AO959" s="102" t="s">
        <v>2638</v>
      </c>
      <c r="AP959" s="82"/>
      <c r="AQ959" s="87" t="s">
        <v>59</v>
      </c>
      <c r="AR959" s="87" t="s">
        <v>80</v>
      </c>
      <c r="AS959" s="82"/>
      <c r="AT959" s="87">
        <v>15</v>
      </c>
      <c r="AU959" s="87">
        <v>1</v>
      </c>
      <c r="AV959" s="87">
        <f>AT959+AU959</f>
        <v>16</v>
      </c>
      <c r="AW959" s="87" t="str">
        <f>_xlfn.TEXTJOIN(", ",TRUE,$AX959:$AZ959)</f>
        <v>No Aplica</v>
      </c>
      <c r="AX959" s="87" t="s">
        <v>78</v>
      </c>
      <c r="AY959" s="87"/>
      <c r="AZ959" s="87"/>
      <c r="BA959" s="108" t="s">
        <v>4384</v>
      </c>
      <c r="BB959" s="84"/>
      <c r="BC959" s="85"/>
      <c r="BD959" s="85"/>
    </row>
    <row r="960" spans="1:56" s="86" customFormat="1" ht="57" customHeight="1">
      <c r="A960" s="78">
        <v>955</v>
      </c>
      <c r="B960" s="79" t="s">
        <v>1561</v>
      </c>
      <c r="C960" s="88">
        <v>45553</v>
      </c>
      <c r="D960" s="89">
        <v>0.58333333333333337</v>
      </c>
      <c r="E960" s="87" t="s">
        <v>93</v>
      </c>
      <c r="F960" s="87" t="s">
        <v>321</v>
      </c>
      <c r="G960" s="87" t="s">
        <v>62</v>
      </c>
      <c r="H960" s="90" t="s">
        <v>1562</v>
      </c>
      <c r="I960" s="90" t="s">
        <v>118</v>
      </c>
      <c r="J960" s="87" t="s">
        <v>70</v>
      </c>
      <c r="K960" s="87" t="s">
        <v>1810</v>
      </c>
      <c r="L960" s="90" t="s">
        <v>2475</v>
      </c>
      <c r="M960" s="91" t="s">
        <v>2753</v>
      </c>
      <c r="N960" s="90" t="s">
        <v>2476</v>
      </c>
      <c r="O960" s="90" t="str">
        <f t="shared" si="133"/>
        <v>Kennedy</v>
      </c>
      <c r="P960" s="87" t="s">
        <v>473</v>
      </c>
      <c r="Q960" s="87"/>
      <c r="R960" s="87"/>
      <c r="S960" s="87"/>
      <c r="T960" s="87"/>
      <c r="U960" s="87"/>
      <c r="V960" s="90" t="str">
        <f t="shared" si="137"/>
        <v>Suroccidente</v>
      </c>
      <c r="W960" s="87" t="s">
        <v>474</v>
      </c>
      <c r="X960" s="87"/>
      <c r="Y960" s="87"/>
      <c r="Z960" s="87"/>
      <c r="AA960" s="87"/>
      <c r="AB960" s="87"/>
      <c r="AC960" s="90" t="str">
        <f t="shared" si="138"/>
        <v>Kennedy</v>
      </c>
      <c r="AD960" s="87" t="s">
        <v>473</v>
      </c>
      <c r="AE960" s="87"/>
      <c r="AF960" s="87"/>
      <c r="AG960" s="87"/>
      <c r="AH960" s="87"/>
      <c r="AI960" s="87"/>
      <c r="AJ960" s="87"/>
      <c r="AK960" s="87"/>
      <c r="AL960" s="87"/>
      <c r="AM960" s="87"/>
      <c r="AN960" s="90" t="s">
        <v>80</v>
      </c>
      <c r="AO960" s="90" t="s">
        <v>2754</v>
      </c>
      <c r="AP960" s="82"/>
      <c r="AQ960" s="87" t="s">
        <v>59</v>
      </c>
      <c r="AR960" s="87" t="s">
        <v>80</v>
      </c>
      <c r="AS960" s="82"/>
      <c r="AT960" s="87">
        <v>12</v>
      </c>
      <c r="AU960" s="87">
        <v>1</v>
      </c>
      <c r="AV960" s="87">
        <f t="shared" ref="AV960:AV963" si="205">AT960+AU960</f>
        <v>13</v>
      </c>
      <c r="AW960" s="87" t="str">
        <f t="shared" si="200"/>
        <v/>
      </c>
      <c r="AX960" s="87"/>
      <c r="AY960" s="87"/>
      <c r="AZ960" s="87"/>
      <c r="BA960" s="91" t="s">
        <v>4385</v>
      </c>
      <c r="BB960" s="84"/>
      <c r="BC960" s="85"/>
      <c r="BD960" s="85"/>
    </row>
    <row r="961" spans="1:56" s="86" customFormat="1" ht="57" customHeight="1">
      <c r="A961" s="87">
        <v>956</v>
      </c>
      <c r="B961" s="79" t="s">
        <v>4386</v>
      </c>
      <c r="C961" s="88">
        <v>45553</v>
      </c>
      <c r="D961" s="89">
        <v>0.58333333333333337</v>
      </c>
      <c r="E961" s="87" t="s">
        <v>93</v>
      </c>
      <c r="F961" s="87" t="s">
        <v>102</v>
      </c>
      <c r="G961" s="87" t="s">
        <v>62</v>
      </c>
      <c r="H961" s="90" t="s">
        <v>4387</v>
      </c>
      <c r="I961" s="90" t="s">
        <v>118</v>
      </c>
      <c r="J961" s="87" t="s">
        <v>173</v>
      </c>
      <c r="K961" s="87"/>
      <c r="L961" s="90" t="s">
        <v>3964</v>
      </c>
      <c r="M961" s="91" t="s">
        <v>3964</v>
      </c>
      <c r="N961" s="90" t="s">
        <v>4388</v>
      </c>
      <c r="O961" s="90" t="str">
        <f t="shared" si="133"/>
        <v>Distrital</v>
      </c>
      <c r="P961" s="87" t="s">
        <v>73</v>
      </c>
      <c r="Q961" s="87"/>
      <c r="R961" s="87"/>
      <c r="S961" s="87"/>
      <c r="T961" s="87"/>
      <c r="U961" s="87"/>
      <c r="V961" s="90" t="s">
        <v>184</v>
      </c>
      <c r="W961" s="87"/>
      <c r="X961" s="87"/>
      <c r="Y961" s="87"/>
      <c r="Z961" s="87"/>
      <c r="AA961" s="87"/>
      <c r="AB961" s="87"/>
      <c r="AC961" s="90" t="str">
        <f t="shared" si="138"/>
        <v>Distrital</v>
      </c>
      <c r="AD961" s="87" t="s">
        <v>73</v>
      </c>
      <c r="AE961" s="87"/>
      <c r="AF961" s="87"/>
      <c r="AG961" s="87"/>
      <c r="AH961" s="87"/>
      <c r="AI961" s="87"/>
      <c r="AJ961" s="87"/>
      <c r="AK961" s="87"/>
      <c r="AL961" s="87"/>
      <c r="AM961" s="87"/>
      <c r="AN961" s="90" t="s">
        <v>80</v>
      </c>
      <c r="AO961" s="79" t="s">
        <v>4389</v>
      </c>
      <c r="AP961" s="82"/>
      <c r="AQ961" s="87" t="s">
        <v>59</v>
      </c>
      <c r="AR961" s="87" t="s">
        <v>80</v>
      </c>
      <c r="AS961" s="82"/>
      <c r="AT961" s="87">
        <v>2</v>
      </c>
      <c r="AU961" s="87">
        <v>5</v>
      </c>
      <c r="AV961" s="87">
        <f t="shared" si="205"/>
        <v>7</v>
      </c>
      <c r="AW961" s="87" t="str">
        <f t="shared" si="200"/>
        <v/>
      </c>
      <c r="AX961" s="87"/>
      <c r="AY961" s="87"/>
      <c r="AZ961" s="87"/>
      <c r="BA961" s="91" t="s">
        <v>4390</v>
      </c>
      <c r="BB961" s="84"/>
      <c r="BC961" s="85"/>
      <c r="BD961" s="85"/>
    </row>
    <row r="962" spans="1:56" s="86" customFormat="1" ht="57" customHeight="1">
      <c r="A962" s="78">
        <v>957</v>
      </c>
      <c r="B962" s="79" t="s">
        <v>4391</v>
      </c>
      <c r="C962" s="88">
        <v>45553</v>
      </c>
      <c r="D962" s="89">
        <v>0.58333333333333337</v>
      </c>
      <c r="E962" s="87" t="s">
        <v>58</v>
      </c>
      <c r="F962" s="87" t="s">
        <v>116</v>
      </c>
      <c r="G962" s="87" t="s">
        <v>62</v>
      </c>
      <c r="H962" s="90" t="s">
        <v>4392</v>
      </c>
      <c r="I962" s="90" t="s">
        <v>188</v>
      </c>
      <c r="J962" s="87" t="s">
        <v>70</v>
      </c>
      <c r="K962" s="87" t="s">
        <v>71</v>
      </c>
      <c r="L962" s="90" t="s">
        <v>4393</v>
      </c>
      <c r="M962" s="91" t="s">
        <v>4205</v>
      </c>
      <c r="N962" s="90" t="s">
        <v>4394</v>
      </c>
      <c r="O962" s="90" t="str">
        <f>_xlfn.TEXTJOIN(", ",TRUE,$P962:$T962)</f>
        <v>Santa Fe</v>
      </c>
      <c r="P962" s="87" t="s">
        <v>541</v>
      </c>
      <c r="Q962" s="87"/>
      <c r="R962" s="87"/>
      <c r="S962" s="87"/>
      <c r="T962" s="87"/>
      <c r="U962" s="87"/>
      <c r="V962" s="90" t="str">
        <f>_xlfn.TEXTJOIN(", ",TRUE,$W962:$AB962)</f>
        <v>Centro Ampliado</v>
      </c>
      <c r="W962" s="87" t="s">
        <v>415</v>
      </c>
      <c r="X962" s="87"/>
      <c r="Y962" s="87"/>
      <c r="Z962" s="87"/>
      <c r="AA962" s="87"/>
      <c r="AB962" s="87"/>
      <c r="AC962" s="90" t="str">
        <f>_xlfn.TEXTJOIN(", ",TRUE,$AD962:$AM962)</f>
        <v>Centro Histórico</v>
      </c>
      <c r="AD962" s="87" t="s">
        <v>488</v>
      </c>
      <c r="AE962" s="87"/>
      <c r="AF962" s="87"/>
      <c r="AG962" s="87"/>
      <c r="AH962" s="87"/>
      <c r="AI962" s="87"/>
      <c r="AJ962" s="87"/>
      <c r="AK962" s="87"/>
      <c r="AL962" s="87"/>
      <c r="AM962" s="87"/>
      <c r="AN962" s="90" t="s">
        <v>4395</v>
      </c>
      <c r="AO962" s="90" t="s">
        <v>4396</v>
      </c>
      <c r="AP962" s="82"/>
      <c r="AQ962" s="87" t="s">
        <v>59</v>
      </c>
      <c r="AR962" s="87" t="s">
        <v>80</v>
      </c>
      <c r="AS962" s="82"/>
      <c r="AT962" s="87">
        <v>6</v>
      </c>
      <c r="AU962" s="87">
        <v>2</v>
      </c>
      <c r="AV962" s="87">
        <f>AT962+AU962</f>
        <v>8</v>
      </c>
      <c r="AW962" s="87" t="str">
        <f t="shared" si="200"/>
        <v/>
      </c>
      <c r="AX962" s="87"/>
      <c r="AY962" s="87"/>
      <c r="AZ962" s="87"/>
      <c r="BA962" s="91" t="s">
        <v>4397</v>
      </c>
      <c r="BB962" s="84"/>
      <c r="BC962" s="85"/>
      <c r="BD962" s="85"/>
    </row>
    <row r="963" spans="1:56" s="86" customFormat="1" ht="57" customHeight="1">
      <c r="A963" s="87">
        <v>958</v>
      </c>
      <c r="B963" s="90" t="s">
        <v>4398</v>
      </c>
      <c r="C963" s="88">
        <v>45553</v>
      </c>
      <c r="D963" s="89">
        <v>0.625</v>
      </c>
      <c r="E963" s="87" t="s">
        <v>93</v>
      </c>
      <c r="F963" s="87" t="s">
        <v>102</v>
      </c>
      <c r="G963" s="87" t="s">
        <v>95</v>
      </c>
      <c r="H963" s="90" t="s">
        <v>4399</v>
      </c>
      <c r="I963" s="90" t="s">
        <v>118</v>
      </c>
      <c r="J963" s="87" t="s">
        <v>119</v>
      </c>
      <c r="K963" s="87" t="s">
        <v>129</v>
      </c>
      <c r="L963" s="90" t="s">
        <v>4184</v>
      </c>
      <c r="M963" s="91" t="s">
        <v>3950</v>
      </c>
      <c r="N963" s="90" t="s">
        <v>736</v>
      </c>
      <c r="O963" s="90" t="str">
        <f t="shared" si="133"/>
        <v>Distrital</v>
      </c>
      <c r="P963" s="87" t="s">
        <v>73</v>
      </c>
      <c r="Q963" s="87"/>
      <c r="R963" s="87"/>
      <c r="S963" s="87"/>
      <c r="T963" s="87"/>
      <c r="U963" s="87"/>
      <c r="V963" s="90" t="str">
        <f t="shared" si="137"/>
        <v>Distrital</v>
      </c>
      <c r="W963" s="87" t="s">
        <v>73</v>
      </c>
      <c r="X963" s="87"/>
      <c r="Y963" s="87"/>
      <c r="Z963" s="87"/>
      <c r="AA963" s="87"/>
      <c r="AB963" s="87"/>
      <c r="AC963" s="90" t="str">
        <f>_xlfn.TEXTJOIN(", ",TRUE,$AD963:$AM963)</f>
        <v>Distrital</v>
      </c>
      <c r="AD963" s="87" t="s">
        <v>73</v>
      </c>
      <c r="AE963" s="87"/>
      <c r="AF963" s="87"/>
      <c r="AG963" s="87"/>
      <c r="AH963" s="87"/>
      <c r="AI963" s="87"/>
      <c r="AJ963" s="87"/>
      <c r="AK963" s="87"/>
      <c r="AL963" s="87"/>
      <c r="AM963" s="87"/>
      <c r="AN963" s="90" t="s">
        <v>80</v>
      </c>
      <c r="AO963" s="102" t="s">
        <v>2667</v>
      </c>
      <c r="AP963" s="82"/>
      <c r="AQ963" s="87" t="s">
        <v>59</v>
      </c>
      <c r="AR963" s="87" t="s">
        <v>80</v>
      </c>
      <c r="AS963" s="82"/>
      <c r="AT963" s="87">
        <v>8</v>
      </c>
      <c r="AU963" s="87">
        <v>4</v>
      </c>
      <c r="AV963" s="87">
        <f t="shared" si="205"/>
        <v>12</v>
      </c>
      <c r="AW963" s="87" t="str">
        <f t="shared" si="54"/>
        <v>Ninguna</v>
      </c>
      <c r="AX963" s="87" t="s">
        <v>75</v>
      </c>
      <c r="AY963" s="87"/>
      <c r="AZ963" s="87"/>
      <c r="BA963" s="91" t="s">
        <v>4400</v>
      </c>
      <c r="BB963" s="84"/>
      <c r="BC963" s="85"/>
      <c r="BD963" s="85"/>
    </row>
    <row r="964" spans="1:56" s="86" customFormat="1" ht="66.75" customHeight="1">
      <c r="A964" s="78">
        <v>959</v>
      </c>
      <c r="B964" s="79" t="s">
        <v>4401</v>
      </c>
      <c r="C964" s="88">
        <v>45554</v>
      </c>
      <c r="D964" s="89">
        <v>0.33333333333333331</v>
      </c>
      <c r="E964" s="87" t="s">
        <v>58</v>
      </c>
      <c r="F964" s="87" t="s">
        <v>61</v>
      </c>
      <c r="G964" s="87" t="s">
        <v>62</v>
      </c>
      <c r="H964" s="90" t="s">
        <v>4402</v>
      </c>
      <c r="I964" s="90" t="s">
        <v>128</v>
      </c>
      <c r="J964" s="87" t="s">
        <v>119</v>
      </c>
      <c r="K964" s="87"/>
      <c r="L964" s="90" t="s">
        <v>4403</v>
      </c>
      <c r="M964" s="91" t="s">
        <v>4404</v>
      </c>
      <c r="N964" s="90" t="s">
        <v>4405</v>
      </c>
      <c r="O964" s="90" t="str">
        <f>_xlfn.TEXTJOIN(", ",TRUE,$P964:$T964)</f>
        <v>Usme</v>
      </c>
      <c r="P964" s="87" t="s">
        <v>670</v>
      </c>
      <c r="Q964" s="87"/>
      <c r="R964" s="87"/>
      <c r="S964" s="87"/>
      <c r="T964" s="87"/>
      <c r="U964" s="87"/>
      <c r="V964" s="90" t="str">
        <f>_xlfn.TEXTJOIN(", ",TRUE,$W964:$AB964)</f>
        <v>Suroriente</v>
      </c>
      <c r="W964" s="87" t="s">
        <v>108</v>
      </c>
      <c r="X964" s="87"/>
      <c r="Y964" s="87"/>
      <c r="Z964" s="87"/>
      <c r="AA964" s="87"/>
      <c r="AB964" s="87"/>
      <c r="AC964" s="90" t="str">
        <f>_xlfn.TEXTJOIN(", ",TRUE,$AD964:$AM964)</f>
        <v>Usme Entrenubes</v>
      </c>
      <c r="AD964" s="87" t="s">
        <v>671</v>
      </c>
      <c r="AE964" s="87"/>
      <c r="AF964" s="87"/>
      <c r="AG964" s="87"/>
      <c r="AH964" s="87"/>
      <c r="AI964" s="87"/>
      <c r="AJ964" s="87"/>
      <c r="AK964" s="87"/>
      <c r="AL964" s="87"/>
      <c r="AM964" s="87"/>
      <c r="AN964" s="90" t="s">
        <v>4406</v>
      </c>
      <c r="AO964" s="79" t="s">
        <v>4407</v>
      </c>
      <c r="AP964" s="82"/>
      <c r="AQ964" s="87" t="s">
        <v>60</v>
      </c>
      <c r="AR964" s="87" t="s">
        <v>2854</v>
      </c>
      <c r="AS964" s="82"/>
      <c r="AT964" s="87">
        <v>77</v>
      </c>
      <c r="AU964" s="87">
        <v>11</v>
      </c>
      <c r="AV964" s="87">
        <f>AT964+AU964</f>
        <v>88</v>
      </c>
      <c r="AW964" s="87" t="str">
        <f>_xlfn.TEXTJOIN(", ",TRUE,$AX964:$AZ964)</f>
        <v>Contenidos adaptados</v>
      </c>
      <c r="AX964" s="87" t="s">
        <v>212</v>
      </c>
      <c r="AY964" s="87"/>
      <c r="AZ964" s="87"/>
      <c r="BA964" s="91" t="s">
        <v>4408</v>
      </c>
      <c r="BB964" s="84"/>
      <c r="BC964" s="85"/>
      <c r="BD964" s="85"/>
    </row>
    <row r="965" spans="1:56" s="86" customFormat="1" ht="66.75" customHeight="1">
      <c r="A965" s="87">
        <v>960</v>
      </c>
      <c r="B965" s="79" t="s">
        <v>4409</v>
      </c>
      <c r="C965" s="88">
        <v>45554</v>
      </c>
      <c r="D965" s="89">
        <v>0.41666666666666669</v>
      </c>
      <c r="E965" s="87" t="s">
        <v>58</v>
      </c>
      <c r="F965" s="87" t="s">
        <v>1769</v>
      </c>
      <c r="G965" s="87" t="s">
        <v>62</v>
      </c>
      <c r="H965" s="90" t="s">
        <v>4410</v>
      </c>
      <c r="I965" s="90" t="s">
        <v>118</v>
      </c>
      <c r="J965" s="87" t="s">
        <v>816</v>
      </c>
      <c r="K965" s="87"/>
      <c r="L965" s="90" t="s">
        <v>80</v>
      </c>
      <c r="M965" s="91" t="s">
        <v>80</v>
      </c>
      <c r="N965" s="90" t="s">
        <v>80</v>
      </c>
      <c r="O965" s="90" t="str">
        <f t="shared" si="133"/>
        <v>Teusaquillo</v>
      </c>
      <c r="P965" s="87" t="s">
        <v>665</v>
      </c>
      <c r="Q965" s="87"/>
      <c r="R965" s="87"/>
      <c r="S965" s="87"/>
      <c r="T965" s="87"/>
      <c r="U965" s="87"/>
      <c r="V965" s="90" t="str">
        <f t="shared" si="137"/>
        <v>Centro Ampliado</v>
      </c>
      <c r="W965" s="87" t="s">
        <v>415</v>
      </c>
      <c r="X965" s="87"/>
      <c r="Y965" s="87"/>
      <c r="Z965" s="87"/>
      <c r="AA965" s="87"/>
      <c r="AB965" s="87"/>
      <c r="AC965" s="90" t="str">
        <f t="shared" si="138"/>
        <v>Teusaquillo</v>
      </c>
      <c r="AD965" s="87" t="s">
        <v>665</v>
      </c>
      <c r="AE965" s="87"/>
      <c r="AF965" s="87"/>
      <c r="AG965" s="87"/>
      <c r="AH965" s="87"/>
      <c r="AI965" s="87"/>
      <c r="AJ965" s="87"/>
      <c r="AK965" s="87"/>
      <c r="AL965" s="87"/>
      <c r="AM965" s="87"/>
      <c r="AN965" s="90" t="s">
        <v>2339</v>
      </c>
      <c r="AO965" s="79" t="s">
        <v>4411</v>
      </c>
      <c r="AP965" s="82"/>
      <c r="AQ965" s="87" t="s">
        <v>59</v>
      </c>
      <c r="AR965" s="87" t="s">
        <v>80</v>
      </c>
      <c r="AS965" s="82"/>
      <c r="AT965" s="87">
        <v>0</v>
      </c>
      <c r="AU965" s="87">
        <v>21</v>
      </c>
      <c r="AV965" s="87">
        <f t="shared" ref="AV965" si="206">AT965+AU965</f>
        <v>21</v>
      </c>
      <c r="AW965" s="87" t="str">
        <f>_xlfn.TEXTJOIN(", ",TRUE,$AX965:$AZ965)</f>
        <v>Accesibilidad Universal, Contenidos adaptados, Horarios Acordes</v>
      </c>
      <c r="AX965" s="87" t="s">
        <v>246</v>
      </c>
      <c r="AY965" s="87" t="s">
        <v>212</v>
      </c>
      <c r="AZ965" s="87" t="s">
        <v>213</v>
      </c>
      <c r="BA965" s="91" t="s">
        <v>4412</v>
      </c>
      <c r="BB965" s="84"/>
      <c r="BC965" s="85"/>
      <c r="BD965" s="85"/>
    </row>
    <row r="966" spans="1:56" s="86" customFormat="1" ht="42" customHeight="1">
      <c r="A966" s="78">
        <v>961</v>
      </c>
      <c r="B966" s="79" t="s">
        <v>4011</v>
      </c>
      <c r="C966" s="88">
        <v>45554</v>
      </c>
      <c r="D966" s="89">
        <v>0.41666666666666669</v>
      </c>
      <c r="E966" s="87" t="s">
        <v>58</v>
      </c>
      <c r="F966" s="87" t="s">
        <v>2207</v>
      </c>
      <c r="G966" s="87" t="s">
        <v>62</v>
      </c>
      <c r="H966" s="90" t="s">
        <v>4168</v>
      </c>
      <c r="I966" s="90" t="s">
        <v>118</v>
      </c>
      <c r="J966" s="87" t="s">
        <v>173</v>
      </c>
      <c r="K966" s="87"/>
      <c r="L966" s="90" t="s">
        <v>80</v>
      </c>
      <c r="M966" s="91" t="s">
        <v>80</v>
      </c>
      <c r="N966" s="90" t="s">
        <v>80</v>
      </c>
      <c r="O966" s="90" t="str">
        <f>_xlfn.TEXTJOIN(", ",TRUE,$P966:$T966)</f>
        <v>Distrital</v>
      </c>
      <c r="P966" s="87" t="s">
        <v>73</v>
      </c>
      <c r="Q966" s="87"/>
      <c r="R966" s="87"/>
      <c r="S966" s="87"/>
      <c r="T966" s="87"/>
      <c r="U966" s="87"/>
      <c r="V966" s="90" t="str">
        <f>_xlfn.TEXTJOIN(", ",TRUE,$W966:$AB966)</f>
        <v>Distrital</v>
      </c>
      <c r="W966" s="87" t="s">
        <v>73</v>
      </c>
      <c r="X966" s="87"/>
      <c r="Y966" s="87"/>
      <c r="Z966" s="87"/>
      <c r="AA966" s="87"/>
      <c r="AB966" s="87"/>
      <c r="AC966" s="90" t="str">
        <f>_xlfn.TEXTJOIN(", ",TRUE,$AD966:$AM966)</f>
        <v>Distrital</v>
      </c>
      <c r="AD966" s="87" t="s">
        <v>73</v>
      </c>
      <c r="AE966" s="87"/>
      <c r="AF966" s="87"/>
      <c r="AG966" s="87"/>
      <c r="AH966" s="87"/>
      <c r="AI966" s="87"/>
      <c r="AJ966" s="87"/>
      <c r="AK966" s="87"/>
      <c r="AL966" s="87"/>
      <c r="AM966" s="87"/>
      <c r="AN966" s="90" t="s">
        <v>80</v>
      </c>
      <c r="AO966" s="79" t="s">
        <v>4359</v>
      </c>
      <c r="AP966" s="82"/>
      <c r="AQ966" s="87" t="s">
        <v>59</v>
      </c>
      <c r="AR966" s="87" t="s">
        <v>80</v>
      </c>
      <c r="AS966" s="82"/>
      <c r="AT966" s="87">
        <v>0</v>
      </c>
      <c r="AU966" s="87">
        <v>16</v>
      </c>
      <c r="AV966" s="87">
        <f>AT966+AU966</f>
        <v>16</v>
      </c>
      <c r="AW966" s="87" t="str">
        <f t="shared" ref="AW966:AW977" si="207">_xlfn.TEXTJOIN(", ",TRUE,$AX966:$AZ966)</f>
        <v/>
      </c>
      <c r="AX966" s="87"/>
      <c r="AY966" s="87"/>
      <c r="AZ966" s="87"/>
      <c r="BA966" s="91" t="s">
        <v>4413</v>
      </c>
      <c r="BB966" s="84"/>
      <c r="BC966" s="85"/>
      <c r="BD966" s="85"/>
    </row>
    <row r="967" spans="1:56" s="86" customFormat="1" ht="45" customHeight="1">
      <c r="A967" s="87">
        <v>962</v>
      </c>
      <c r="B967" s="79" t="s">
        <v>4414</v>
      </c>
      <c r="C967" s="88">
        <v>45554</v>
      </c>
      <c r="D967" s="89">
        <v>0.41666666666666669</v>
      </c>
      <c r="E967" s="87" t="s">
        <v>58</v>
      </c>
      <c r="F967" s="87" t="s">
        <v>1437</v>
      </c>
      <c r="G967" s="87" t="s">
        <v>62</v>
      </c>
      <c r="H967" s="90" t="s">
        <v>4415</v>
      </c>
      <c r="I967" s="90" t="s">
        <v>118</v>
      </c>
      <c r="J967" s="87" t="s">
        <v>173</v>
      </c>
      <c r="K967" s="87"/>
      <c r="L967" s="90" t="s">
        <v>80</v>
      </c>
      <c r="M967" s="91" t="s">
        <v>80</v>
      </c>
      <c r="N967" s="90" t="s">
        <v>80</v>
      </c>
      <c r="O967" s="90" t="str">
        <f>_xlfn.TEXTJOIN(", ",TRUE,$P967:$T967)</f>
        <v>Distrital</v>
      </c>
      <c r="P967" s="87" t="s">
        <v>73</v>
      </c>
      <c r="Q967" s="87"/>
      <c r="R967" s="87"/>
      <c r="S967" s="87"/>
      <c r="T967" s="87"/>
      <c r="U967" s="87"/>
      <c r="V967" s="90" t="str">
        <f>_xlfn.TEXTJOIN(", ",TRUE,$W967:$AB967)</f>
        <v>Distrital</v>
      </c>
      <c r="W967" s="87" t="s">
        <v>73</v>
      </c>
      <c r="X967" s="87"/>
      <c r="Y967" s="87"/>
      <c r="Z967" s="87"/>
      <c r="AA967" s="87"/>
      <c r="AB967" s="87"/>
      <c r="AC967" s="90" t="str">
        <f>_xlfn.TEXTJOIN(", ",TRUE,$AD967:$AM967)</f>
        <v>Distrital</v>
      </c>
      <c r="AD967" s="87" t="s">
        <v>73</v>
      </c>
      <c r="AE967" s="87"/>
      <c r="AF967" s="87"/>
      <c r="AG967" s="87"/>
      <c r="AH967" s="87"/>
      <c r="AI967" s="87"/>
      <c r="AJ967" s="87"/>
      <c r="AK967" s="87"/>
      <c r="AL967" s="87"/>
      <c r="AM967" s="87"/>
      <c r="AN967" s="90" t="s">
        <v>80</v>
      </c>
      <c r="AO967" s="79" t="s">
        <v>4416</v>
      </c>
      <c r="AP967" s="82"/>
      <c r="AQ967" s="87" t="s">
        <v>59</v>
      </c>
      <c r="AR967" s="87" t="s">
        <v>80</v>
      </c>
      <c r="AS967" s="82"/>
      <c r="AT967" s="87">
        <v>0</v>
      </c>
      <c r="AU967" s="87">
        <v>6</v>
      </c>
      <c r="AV967" s="87">
        <f>AT967+AU967</f>
        <v>6</v>
      </c>
      <c r="AW967" s="87" t="str">
        <f t="shared" si="207"/>
        <v/>
      </c>
      <c r="AX967" s="87"/>
      <c r="AY967" s="87"/>
      <c r="AZ967" s="87"/>
      <c r="BA967" s="91" t="s">
        <v>4417</v>
      </c>
      <c r="BB967" s="84"/>
      <c r="BC967" s="85"/>
      <c r="BD967" s="85"/>
    </row>
    <row r="968" spans="1:56" s="86" customFormat="1" ht="59.25" customHeight="1">
      <c r="A968" s="78">
        <v>963</v>
      </c>
      <c r="B968" s="79" t="s">
        <v>4418</v>
      </c>
      <c r="C968" s="88">
        <v>45554</v>
      </c>
      <c r="D968" s="89">
        <v>0.58333333333333337</v>
      </c>
      <c r="E968" s="87" t="s">
        <v>58</v>
      </c>
      <c r="F968" s="87" t="s">
        <v>1142</v>
      </c>
      <c r="G968" s="87" t="s">
        <v>62</v>
      </c>
      <c r="H968" s="90" t="s">
        <v>4419</v>
      </c>
      <c r="I968" s="90" t="s">
        <v>118</v>
      </c>
      <c r="J968" s="87" t="s">
        <v>173</v>
      </c>
      <c r="K968" s="87"/>
      <c r="L968" s="90" t="s">
        <v>1070</v>
      </c>
      <c r="M968" s="91" t="s">
        <v>4420</v>
      </c>
      <c r="N968" s="90" t="s">
        <v>972</v>
      </c>
      <c r="O968" s="90" t="str">
        <f>_xlfn.TEXTJOIN(", ",TRUE,$P968:$T968)</f>
        <v>Distrital</v>
      </c>
      <c r="P968" s="87" t="s">
        <v>73</v>
      </c>
      <c r="Q968" s="87"/>
      <c r="R968" s="87"/>
      <c r="S968" s="87"/>
      <c r="T968" s="87"/>
      <c r="U968" s="87"/>
      <c r="V968" s="90" t="str">
        <f>_xlfn.TEXTJOIN(", ",TRUE,$W968:$AB968)</f>
        <v>Distrital</v>
      </c>
      <c r="W968" s="87" t="s">
        <v>73</v>
      </c>
      <c r="X968" s="87"/>
      <c r="Y968" s="87"/>
      <c r="Z968" s="87"/>
      <c r="AA968" s="87"/>
      <c r="AB968" s="87"/>
      <c r="AC968" s="90" t="str">
        <f>_xlfn.TEXTJOIN(", ",TRUE,$AD968:$AM968)</f>
        <v>Distrital</v>
      </c>
      <c r="AD968" s="87" t="s">
        <v>73</v>
      </c>
      <c r="AE968" s="87"/>
      <c r="AF968" s="87"/>
      <c r="AG968" s="87"/>
      <c r="AH968" s="87"/>
      <c r="AI968" s="87"/>
      <c r="AJ968" s="87"/>
      <c r="AK968" s="87"/>
      <c r="AL968" s="87"/>
      <c r="AM968" s="87"/>
      <c r="AN968" s="90" t="s">
        <v>3359</v>
      </c>
      <c r="AO968" s="79" t="s">
        <v>1306</v>
      </c>
      <c r="AP968" s="82"/>
      <c r="AQ968" s="87" t="s">
        <v>59</v>
      </c>
      <c r="AR968" s="87" t="s">
        <v>80</v>
      </c>
      <c r="AS968" s="82"/>
      <c r="AT968" s="87">
        <v>14</v>
      </c>
      <c r="AU968" s="87">
        <v>8</v>
      </c>
      <c r="AV968" s="87">
        <f>AT968+AU968</f>
        <v>22</v>
      </c>
      <c r="AW968" s="87" t="str">
        <f t="shared" si="207"/>
        <v>Ninguna</v>
      </c>
      <c r="AX968" s="87" t="s">
        <v>75</v>
      </c>
      <c r="AY968" s="87"/>
      <c r="AZ968" s="87"/>
      <c r="BA968" s="91" t="s">
        <v>4421</v>
      </c>
      <c r="BB968" s="84"/>
      <c r="BC968" s="85"/>
      <c r="BD968" s="85"/>
    </row>
    <row r="969" spans="1:56" s="86" customFormat="1" ht="35.25" customHeight="1">
      <c r="A969" s="87">
        <v>964</v>
      </c>
      <c r="B969" s="79" t="s">
        <v>4422</v>
      </c>
      <c r="C969" s="88">
        <v>45555</v>
      </c>
      <c r="D969" s="89">
        <v>0.45833333333333331</v>
      </c>
      <c r="E969" s="87" t="s">
        <v>58</v>
      </c>
      <c r="F969" s="87" t="s">
        <v>2121</v>
      </c>
      <c r="G969" s="87" t="s">
        <v>62</v>
      </c>
      <c r="H969" s="90" t="s">
        <v>4423</v>
      </c>
      <c r="I969" s="90" t="s">
        <v>64</v>
      </c>
      <c r="J969" s="87" t="s">
        <v>816</v>
      </c>
      <c r="K969" s="87"/>
      <c r="L969" s="90" t="s">
        <v>72</v>
      </c>
      <c r="M969" s="91" t="s">
        <v>72</v>
      </c>
      <c r="N969" s="90" t="s">
        <v>72</v>
      </c>
      <c r="O969" s="94" t="str">
        <f>_xlfn.TEXTJOIN(", ",TRUE,$P969:$T969)</f>
        <v>Distrital</v>
      </c>
      <c r="P969" s="87" t="s">
        <v>73</v>
      </c>
      <c r="Q969" s="87"/>
      <c r="R969" s="87"/>
      <c r="S969" s="87"/>
      <c r="T969" s="87"/>
      <c r="U969" s="87"/>
      <c r="V969" s="94" t="str">
        <f>_xlfn.TEXTJOIN(", ",TRUE,$W969:$AB969)</f>
        <v>Distrital</v>
      </c>
      <c r="W969" s="87" t="s">
        <v>73</v>
      </c>
      <c r="X969" s="87"/>
      <c r="Y969" s="87"/>
      <c r="Z969" s="87"/>
      <c r="AA969" s="87"/>
      <c r="AB969" s="87"/>
      <c r="AC969" s="94" t="str">
        <f>_xlfn.TEXTJOIN(", ",TRUE,$AD969:$AM969)</f>
        <v>Distrital</v>
      </c>
      <c r="AD969" s="87" t="s">
        <v>73</v>
      </c>
      <c r="AE969" s="87"/>
      <c r="AF969" s="87"/>
      <c r="AG969" s="87"/>
      <c r="AH969" s="87"/>
      <c r="AI969" s="87"/>
      <c r="AJ969" s="87"/>
      <c r="AK969" s="87"/>
      <c r="AL969" s="87"/>
      <c r="AM969" s="87"/>
      <c r="AN969" s="90" t="s">
        <v>80</v>
      </c>
      <c r="AO969" s="79" t="s">
        <v>4424</v>
      </c>
      <c r="AP969" s="82"/>
      <c r="AQ969" s="87" t="s">
        <v>59</v>
      </c>
      <c r="AR969" s="87" t="s">
        <v>80</v>
      </c>
      <c r="AS969" s="82"/>
      <c r="AT969" s="87">
        <v>0</v>
      </c>
      <c r="AU969" s="87">
        <v>34</v>
      </c>
      <c r="AV969" s="87">
        <f>AT969+AU969</f>
        <v>34</v>
      </c>
      <c r="AW969" s="87"/>
      <c r="AX969" s="87"/>
      <c r="AY969" s="87"/>
      <c r="AZ969" s="87"/>
      <c r="BA969" s="91" t="s">
        <v>4425</v>
      </c>
      <c r="BB969" s="84"/>
      <c r="BC969" s="85"/>
      <c r="BD969" s="85"/>
    </row>
    <row r="970" spans="1:56" s="86" customFormat="1" ht="66.75" customHeight="1">
      <c r="A970" s="78">
        <v>965</v>
      </c>
      <c r="B970" s="79" t="s">
        <v>4426</v>
      </c>
      <c r="C970" s="88">
        <v>45555</v>
      </c>
      <c r="D970" s="89">
        <v>0.41666666666666669</v>
      </c>
      <c r="E970" s="87" t="s">
        <v>58</v>
      </c>
      <c r="F970" s="87" t="s">
        <v>186</v>
      </c>
      <c r="G970" s="87" t="s">
        <v>62</v>
      </c>
      <c r="H970" s="90" t="s">
        <v>4427</v>
      </c>
      <c r="I970" s="90" t="s">
        <v>64</v>
      </c>
      <c r="J970" s="87" t="s">
        <v>70</v>
      </c>
      <c r="K970" s="87"/>
      <c r="L970" s="90" t="s">
        <v>4428</v>
      </c>
      <c r="M970" s="91" t="s">
        <v>72</v>
      </c>
      <c r="N970" s="90" t="s">
        <v>2972</v>
      </c>
      <c r="O970" s="90" t="str">
        <f>_xlfn.TEXTJOIN(", ",TRUE,$P970:$T970)</f>
        <v>Distrital</v>
      </c>
      <c r="P970" s="87" t="s">
        <v>73</v>
      </c>
      <c r="Q970" s="87"/>
      <c r="R970" s="87"/>
      <c r="S970" s="87"/>
      <c r="T970" s="87"/>
      <c r="U970" s="87"/>
      <c r="V970" s="90" t="str">
        <f>_xlfn.TEXTJOIN(", ",TRUE,$W970:$AB970)</f>
        <v>Distrital</v>
      </c>
      <c r="W970" s="87" t="s">
        <v>73</v>
      </c>
      <c r="X970" s="87"/>
      <c r="Y970" s="87"/>
      <c r="Z970" s="87"/>
      <c r="AA970" s="87"/>
      <c r="AB970" s="87"/>
      <c r="AC970" s="90" t="str">
        <f>_xlfn.TEXTJOIN(", ",TRUE,$AD970:$AM970)</f>
        <v>Distrital</v>
      </c>
      <c r="AD970" s="87" t="s">
        <v>73</v>
      </c>
      <c r="AE970" s="87"/>
      <c r="AF970" s="87"/>
      <c r="AG970" s="87"/>
      <c r="AH970" s="87"/>
      <c r="AI970" s="87"/>
      <c r="AJ970" s="87"/>
      <c r="AK970" s="87"/>
      <c r="AL970" s="87"/>
      <c r="AM970" s="87"/>
      <c r="AN970" s="90" t="s">
        <v>4429</v>
      </c>
      <c r="AO970" s="79" t="s">
        <v>189</v>
      </c>
      <c r="AP970" s="82"/>
      <c r="AQ970" s="87" t="s">
        <v>59</v>
      </c>
      <c r="AR970" s="87" t="s">
        <v>80</v>
      </c>
      <c r="AS970" s="82"/>
      <c r="AT970" s="87">
        <v>25</v>
      </c>
      <c r="AU970" s="87">
        <v>3</v>
      </c>
      <c r="AV970" s="87">
        <f>AT970+AU970</f>
        <v>28</v>
      </c>
      <c r="AW970" s="87" t="s">
        <v>4429</v>
      </c>
      <c r="AX970" s="87"/>
      <c r="AY970" s="87"/>
      <c r="AZ970" s="87"/>
      <c r="BA970" s="91" t="s">
        <v>4425</v>
      </c>
      <c r="BB970" s="84"/>
      <c r="BC970" s="85"/>
      <c r="BD970" s="85"/>
    </row>
    <row r="971" spans="1:56" s="86" customFormat="1" ht="46.5" customHeight="1">
      <c r="A971" s="87">
        <v>966</v>
      </c>
      <c r="B971" s="79" t="s">
        <v>4430</v>
      </c>
      <c r="C971" s="88">
        <v>45555</v>
      </c>
      <c r="D971" s="89">
        <v>0.58333333333333337</v>
      </c>
      <c r="E971" s="87" t="s">
        <v>58</v>
      </c>
      <c r="F971" s="87" t="s">
        <v>1845</v>
      </c>
      <c r="G971" s="87" t="s">
        <v>62</v>
      </c>
      <c r="H971" s="90" t="s">
        <v>4431</v>
      </c>
      <c r="I971" s="90" t="s">
        <v>188</v>
      </c>
      <c r="J971" s="87" t="s">
        <v>119</v>
      </c>
      <c r="K971" s="87" t="s">
        <v>120</v>
      </c>
      <c r="L971" s="90" t="s">
        <v>4432</v>
      </c>
      <c r="M971" s="91" t="s">
        <v>4433</v>
      </c>
      <c r="N971" s="90" t="s">
        <v>4434</v>
      </c>
      <c r="O971" s="90" t="str">
        <f t="shared" si="133"/>
        <v>Engativá</v>
      </c>
      <c r="P971" s="87" t="s">
        <v>123</v>
      </c>
      <c r="Q971" s="87"/>
      <c r="R971" s="87"/>
      <c r="S971" s="87"/>
      <c r="T971" s="87"/>
      <c r="U971" s="87"/>
      <c r="V971" s="90" t="str">
        <f t="shared" si="137"/>
        <v>Occidente</v>
      </c>
      <c r="W971" s="87" t="s">
        <v>124</v>
      </c>
      <c r="X971" s="87"/>
      <c r="Y971" s="87"/>
      <c r="Z971" s="87"/>
      <c r="AA971" s="87"/>
      <c r="AB971" s="87"/>
      <c r="AC971" s="90" t="str">
        <f t="shared" si="138"/>
        <v>Engativá</v>
      </c>
      <c r="AD971" s="87" t="s">
        <v>123</v>
      </c>
      <c r="AE971" s="87"/>
      <c r="AF971" s="87"/>
      <c r="AG971" s="87"/>
      <c r="AH971" s="87"/>
      <c r="AI971" s="87"/>
      <c r="AJ971" s="87"/>
      <c r="AK971" s="87"/>
      <c r="AL971" s="87"/>
      <c r="AM971" s="87"/>
      <c r="AN971" s="90" t="s">
        <v>4435</v>
      </c>
      <c r="AO971" s="90" t="s">
        <v>4436</v>
      </c>
      <c r="AP971" s="82"/>
      <c r="AQ971" s="87" t="s">
        <v>59</v>
      </c>
      <c r="AR971" s="87" t="s">
        <v>80</v>
      </c>
      <c r="AS971" s="82"/>
      <c r="AT971" s="87">
        <v>7</v>
      </c>
      <c r="AU971" s="87">
        <v>3</v>
      </c>
      <c r="AV971" s="87">
        <f t="shared" si="174"/>
        <v>10</v>
      </c>
      <c r="AW971" s="87" t="str">
        <f t="shared" si="207"/>
        <v>Horarios Acordes</v>
      </c>
      <c r="AX971" s="87" t="s">
        <v>213</v>
      </c>
      <c r="AY971" s="87"/>
      <c r="AZ971" s="87"/>
      <c r="BA971" s="91" t="s">
        <v>4437</v>
      </c>
      <c r="BB971" s="84"/>
      <c r="BC971" s="85"/>
      <c r="BD971" s="85"/>
    </row>
    <row r="972" spans="1:56" s="86" customFormat="1" ht="46.5" customHeight="1">
      <c r="A972" s="78">
        <v>967</v>
      </c>
      <c r="B972" s="79" t="s">
        <v>4438</v>
      </c>
      <c r="C972" s="88">
        <v>45556</v>
      </c>
      <c r="D972" s="89">
        <v>0.45833333333333331</v>
      </c>
      <c r="E972" s="87" t="s">
        <v>58</v>
      </c>
      <c r="F972" s="87" t="s">
        <v>149</v>
      </c>
      <c r="G972" s="87" t="s">
        <v>62</v>
      </c>
      <c r="H972" s="90" t="s">
        <v>4439</v>
      </c>
      <c r="I972" s="90" t="s">
        <v>118</v>
      </c>
      <c r="J972" s="87" t="s">
        <v>173</v>
      </c>
      <c r="K972" s="87"/>
      <c r="L972" s="90" t="s">
        <v>4440</v>
      </c>
      <c r="M972" s="91" t="s">
        <v>3042</v>
      </c>
      <c r="N972" s="90" t="s">
        <v>4441</v>
      </c>
      <c r="O972" s="90" t="str">
        <f t="shared" si="133"/>
        <v>Distrital</v>
      </c>
      <c r="P972" s="87" t="s">
        <v>73</v>
      </c>
      <c r="Q972" s="87"/>
      <c r="R972" s="87"/>
      <c r="S972" s="87"/>
      <c r="T972" s="87"/>
      <c r="U972" s="87"/>
      <c r="V972" s="90" t="str">
        <f t="shared" si="137"/>
        <v>Distrital</v>
      </c>
      <c r="W972" s="87" t="s">
        <v>73</v>
      </c>
      <c r="X972" s="87"/>
      <c r="Y972" s="87"/>
      <c r="Z972" s="87"/>
      <c r="AA972" s="87"/>
      <c r="AB972" s="87"/>
      <c r="AC972" s="90" t="str">
        <f t="shared" si="138"/>
        <v>Distrital</v>
      </c>
      <c r="AD972" s="87" t="s">
        <v>73</v>
      </c>
      <c r="AE972" s="87"/>
      <c r="AF972" s="87"/>
      <c r="AG972" s="87"/>
      <c r="AH972" s="87"/>
      <c r="AI972" s="87"/>
      <c r="AJ972" s="87"/>
      <c r="AK972" s="87"/>
      <c r="AL972" s="87"/>
      <c r="AM972" s="87"/>
      <c r="AN972" s="90" t="s">
        <v>80</v>
      </c>
      <c r="AO972" s="90" t="s">
        <v>4442</v>
      </c>
      <c r="AP972" s="82"/>
      <c r="AQ972" s="87" t="s">
        <v>59</v>
      </c>
      <c r="AR972" s="87" t="s">
        <v>80</v>
      </c>
      <c r="AS972" s="82"/>
      <c r="AT972" s="87">
        <v>80</v>
      </c>
      <c r="AU972" s="87">
        <v>3</v>
      </c>
      <c r="AV972" s="87">
        <f t="shared" si="174"/>
        <v>83</v>
      </c>
      <c r="AW972" s="87" t="str">
        <f t="shared" si="207"/>
        <v/>
      </c>
      <c r="AX972" s="87"/>
      <c r="AY972" s="87"/>
      <c r="AZ972" s="87"/>
      <c r="BA972" s="91" t="s">
        <v>4443</v>
      </c>
      <c r="BB972" s="84"/>
      <c r="BC972" s="85"/>
      <c r="BD972" s="85"/>
    </row>
    <row r="973" spans="1:56" s="86" customFormat="1" ht="46.5" customHeight="1">
      <c r="A973" s="87">
        <v>968</v>
      </c>
      <c r="B973" s="79" t="s">
        <v>4444</v>
      </c>
      <c r="C973" s="88">
        <v>45556</v>
      </c>
      <c r="D973" s="89">
        <v>0.58333333333333337</v>
      </c>
      <c r="E973" s="87" t="s">
        <v>58</v>
      </c>
      <c r="F973" s="87" t="s">
        <v>116</v>
      </c>
      <c r="G973" s="87" t="s">
        <v>62</v>
      </c>
      <c r="H973" s="90" t="s">
        <v>4445</v>
      </c>
      <c r="I973" s="90" t="s">
        <v>118</v>
      </c>
      <c r="J973" s="87" t="s">
        <v>119</v>
      </c>
      <c r="K973" s="87"/>
      <c r="L973" s="90" t="s">
        <v>4393</v>
      </c>
      <c r="M973" s="91" t="s">
        <v>4205</v>
      </c>
      <c r="N973" s="90" t="s">
        <v>4394</v>
      </c>
      <c r="O973" s="90" t="str">
        <f t="shared" si="133"/>
        <v>Los Mártires</v>
      </c>
      <c r="P973" s="87" t="s">
        <v>542</v>
      </c>
      <c r="Q973" s="87"/>
      <c r="R973" s="87"/>
      <c r="S973" s="87"/>
      <c r="T973" s="87"/>
      <c r="U973" s="87"/>
      <c r="V973" s="90" t="str">
        <f t="shared" si="137"/>
        <v>Centro Ampliado</v>
      </c>
      <c r="W973" s="87" t="s">
        <v>415</v>
      </c>
      <c r="X973" s="87"/>
      <c r="Y973" s="87"/>
      <c r="Z973" s="87"/>
      <c r="AA973" s="87"/>
      <c r="AB973" s="87"/>
      <c r="AC973" s="90" t="str">
        <f t="shared" si="138"/>
        <v>Centro Histórico</v>
      </c>
      <c r="AD973" s="87" t="s">
        <v>488</v>
      </c>
      <c r="AE973" s="87"/>
      <c r="AF973" s="87"/>
      <c r="AG973" s="87"/>
      <c r="AH973" s="87"/>
      <c r="AI973" s="87"/>
      <c r="AJ973" s="87"/>
      <c r="AK973" s="87"/>
      <c r="AL973" s="87"/>
      <c r="AM973" s="87"/>
      <c r="AN973" s="90" t="s">
        <v>3978</v>
      </c>
      <c r="AO973" s="90" t="s">
        <v>4446</v>
      </c>
      <c r="AP973" s="82"/>
      <c r="AQ973" s="87" t="s">
        <v>59</v>
      </c>
      <c r="AR973" s="87" t="s">
        <v>80</v>
      </c>
      <c r="AS973" s="82"/>
      <c r="AT973" s="87">
        <v>16</v>
      </c>
      <c r="AU973" s="87">
        <v>1</v>
      </c>
      <c r="AV973" s="87">
        <f t="shared" si="174"/>
        <v>17</v>
      </c>
      <c r="AW973" s="87" t="str">
        <f t="shared" si="207"/>
        <v/>
      </c>
      <c r="AX973" s="87"/>
      <c r="AY973" s="87"/>
      <c r="AZ973" s="87"/>
      <c r="BA973" s="91" t="s">
        <v>4447</v>
      </c>
      <c r="BB973" s="84"/>
      <c r="BC973" s="85"/>
      <c r="BD973" s="85"/>
    </row>
    <row r="974" spans="1:56" s="86" customFormat="1" ht="46.5" customHeight="1">
      <c r="A974" s="78">
        <v>969</v>
      </c>
      <c r="B974" s="79" t="s">
        <v>4448</v>
      </c>
      <c r="C974" s="88">
        <v>45558</v>
      </c>
      <c r="D974" s="89">
        <v>0.33333333333333331</v>
      </c>
      <c r="E974" s="87" t="s">
        <v>353</v>
      </c>
      <c r="F974" s="87" t="s">
        <v>135</v>
      </c>
      <c r="G974" s="87" t="s">
        <v>62</v>
      </c>
      <c r="H974" s="90" t="s">
        <v>4449</v>
      </c>
      <c r="I974" s="90" t="s">
        <v>64</v>
      </c>
      <c r="J974" s="87" t="s">
        <v>70</v>
      </c>
      <c r="K974" s="87" t="s">
        <v>71</v>
      </c>
      <c r="L974" s="90" t="s">
        <v>72</v>
      </c>
      <c r="M974" s="91" t="s">
        <v>72</v>
      </c>
      <c r="N974" s="90" t="s">
        <v>72</v>
      </c>
      <c r="O974" s="90" t="str">
        <f>_xlfn.TEXTJOIN(", ",TRUE,$P974:$T974)</f>
        <v>Distrital</v>
      </c>
      <c r="P974" s="87" t="s">
        <v>73</v>
      </c>
      <c r="Q974" s="87"/>
      <c r="R974" s="87"/>
      <c r="S974" s="87"/>
      <c r="T974" s="87"/>
      <c r="U974" s="87"/>
      <c r="V974" s="90" t="str">
        <f t="shared" si="137"/>
        <v>Distrital</v>
      </c>
      <c r="W974" s="87" t="s">
        <v>73</v>
      </c>
      <c r="X974" s="87"/>
      <c r="Y974" s="87"/>
      <c r="Z974" s="87"/>
      <c r="AA974" s="87"/>
      <c r="AB974" s="87"/>
      <c r="AC974" s="90" t="str">
        <f t="shared" si="138"/>
        <v>Distrital</v>
      </c>
      <c r="AD974" s="87" t="s">
        <v>73</v>
      </c>
      <c r="AE974" s="87"/>
      <c r="AF974" s="87"/>
      <c r="AG974" s="87"/>
      <c r="AH974" s="87"/>
      <c r="AI974" s="87"/>
      <c r="AJ974" s="87"/>
      <c r="AK974" s="87"/>
      <c r="AL974" s="87"/>
      <c r="AM974" s="87"/>
      <c r="AN974" s="90" t="s">
        <v>80</v>
      </c>
      <c r="AO974" s="90" t="s">
        <v>4436</v>
      </c>
      <c r="AP974" s="82"/>
      <c r="AQ974" s="87" t="s">
        <v>59</v>
      </c>
      <c r="AR974" s="87" t="s">
        <v>80</v>
      </c>
      <c r="AS974" s="82"/>
      <c r="AT974" s="87">
        <v>0</v>
      </c>
      <c r="AU974" s="87">
        <v>11</v>
      </c>
      <c r="AV974" s="87">
        <f t="shared" ref="AV974:AV982" si="208">AT974+AU974</f>
        <v>11</v>
      </c>
      <c r="AW974" s="87" t="str">
        <f t="shared" si="207"/>
        <v/>
      </c>
      <c r="AX974" s="87"/>
      <c r="AY974" s="87"/>
      <c r="AZ974" s="87"/>
      <c r="BA974" s="91" t="s">
        <v>4450</v>
      </c>
      <c r="BB974" s="84"/>
      <c r="BC974" s="85"/>
      <c r="BD974" s="85"/>
    </row>
    <row r="975" spans="1:56" s="86" customFormat="1" ht="46.5" customHeight="1">
      <c r="A975" s="87">
        <v>970</v>
      </c>
      <c r="B975" s="79" t="s">
        <v>4451</v>
      </c>
      <c r="C975" s="88">
        <v>45558</v>
      </c>
      <c r="D975" s="89">
        <v>0.33333333333333331</v>
      </c>
      <c r="E975" s="87" t="s">
        <v>353</v>
      </c>
      <c r="F975" s="87" t="s">
        <v>135</v>
      </c>
      <c r="G975" s="87" t="s">
        <v>62</v>
      </c>
      <c r="H975" s="90" t="s">
        <v>4452</v>
      </c>
      <c r="I975" s="90" t="s">
        <v>64</v>
      </c>
      <c r="J975" s="87" t="s">
        <v>70</v>
      </c>
      <c r="K975" s="87" t="s">
        <v>71</v>
      </c>
      <c r="L975" s="90" t="s">
        <v>4453</v>
      </c>
      <c r="M975" s="91" t="s">
        <v>2698</v>
      </c>
      <c r="N975" s="90" t="s">
        <v>1385</v>
      </c>
      <c r="O975" s="90" t="s">
        <v>73</v>
      </c>
      <c r="P975" s="87" t="s">
        <v>73</v>
      </c>
      <c r="Q975" s="87"/>
      <c r="R975" s="87"/>
      <c r="S975" s="87"/>
      <c r="T975" s="87"/>
      <c r="U975" s="87"/>
      <c r="V975" s="90" t="s">
        <v>73</v>
      </c>
      <c r="W975" s="87" t="s">
        <v>73</v>
      </c>
      <c r="X975" s="87"/>
      <c r="Y975" s="87"/>
      <c r="Z975" s="87"/>
      <c r="AA975" s="87"/>
      <c r="AB975" s="87"/>
      <c r="AC975" s="90" t="s">
        <v>73</v>
      </c>
      <c r="AD975" s="87" t="s">
        <v>73</v>
      </c>
      <c r="AE975" s="87"/>
      <c r="AF975" s="87"/>
      <c r="AG975" s="87"/>
      <c r="AH975" s="87"/>
      <c r="AI975" s="87"/>
      <c r="AJ975" s="87"/>
      <c r="AK975" s="87"/>
      <c r="AL975" s="87"/>
      <c r="AM975" s="87"/>
      <c r="AN975" s="90" t="s">
        <v>80</v>
      </c>
      <c r="AO975" s="90" t="s">
        <v>4436</v>
      </c>
      <c r="AP975" s="82"/>
      <c r="AQ975" s="87" t="s">
        <v>59</v>
      </c>
      <c r="AR975" s="87" t="s">
        <v>80</v>
      </c>
      <c r="AS975" s="82"/>
      <c r="AT975" s="87">
        <v>0</v>
      </c>
      <c r="AU975" s="87">
        <v>5</v>
      </c>
      <c r="AV975" s="87">
        <f t="shared" si="208"/>
        <v>5</v>
      </c>
      <c r="AW975" s="87" t="str">
        <f t="shared" si="207"/>
        <v>Contenidos adaptados</v>
      </c>
      <c r="AX975" s="87" t="s">
        <v>212</v>
      </c>
      <c r="AY975" s="87"/>
      <c r="AZ975" s="87"/>
      <c r="BA975" s="91" t="s">
        <v>4454</v>
      </c>
      <c r="BB975" s="84"/>
      <c r="BC975" s="85"/>
      <c r="BD975" s="85"/>
    </row>
    <row r="976" spans="1:56" s="86" customFormat="1" ht="46.5" customHeight="1">
      <c r="A976" s="78">
        <v>971</v>
      </c>
      <c r="B976" s="79" t="s">
        <v>4455</v>
      </c>
      <c r="C976" s="88">
        <v>45558</v>
      </c>
      <c r="D976" s="89">
        <v>0.33333333333333331</v>
      </c>
      <c r="E976" s="87" t="s">
        <v>353</v>
      </c>
      <c r="F976" s="87" t="s">
        <v>135</v>
      </c>
      <c r="G976" s="87" t="s">
        <v>62</v>
      </c>
      <c r="H976" s="90" t="s">
        <v>4449</v>
      </c>
      <c r="I976" s="90" t="s">
        <v>64</v>
      </c>
      <c r="J976" s="87" t="s">
        <v>70</v>
      </c>
      <c r="K976" s="87" t="s">
        <v>71</v>
      </c>
      <c r="L976" s="90" t="s">
        <v>72</v>
      </c>
      <c r="M976" s="91" t="s">
        <v>72</v>
      </c>
      <c r="N976" s="90" t="s">
        <v>72</v>
      </c>
      <c r="O976" s="90" t="s">
        <v>73</v>
      </c>
      <c r="P976" s="87" t="s">
        <v>73</v>
      </c>
      <c r="Q976" s="87"/>
      <c r="R976" s="87"/>
      <c r="S976" s="87"/>
      <c r="T976" s="87"/>
      <c r="U976" s="87"/>
      <c r="V976" s="90" t="s">
        <v>73</v>
      </c>
      <c r="W976" s="87" t="s">
        <v>73</v>
      </c>
      <c r="X976" s="87"/>
      <c r="Y976" s="87"/>
      <c r="Z976" s="87"/>
      <c r="AA976" s="87"/>
      <c r="AB976" s="87"/>
      <c r="AC976" s="90" t="s">
        <v>73</v>
      </c>
      <c r="AD976" s="87" t="s">
        <v>73</v>
      </c>
      <c r="AE976" s="87"/>
      <c r="AF976" s="87"/>
      <c r="AG976" s="87"/>
      <c r="AH976" s="87"/>
      <c r="AI976" s="87"/>
      <c r="AJ976" s="87"/>
      <c r="AK976" s="87"/>
      <c r="AL976" s="87"/>
      <c r="AM976" s="87"/>
      <c r="AN976" s="90" t="s">
        <v>80</v>
      </c>
      <c r="AO976" s="90" t="s">
        <v>4436</v>
      </c>
      <c r="AP976" s="82"/>
      <c r="AQ976" s="87" t="s">
        <v>59</v>
      </c>
      <c r="AR976" s="87" t="s">
        <v>80</v>
      </c>
      <c r="AS976" s="82"/>
      <c r="AT976" s="87">
        <v>0</v>
      </c>
      <c r="AU976" s="87">
        <v>9</v>
      </c>
      <c r="AV976" s="87">
        <f t="shared" si="208"/>
        <v>9</v>
      </c>
      <c r="AW976" s="87" t="s">
        <v>184</v>
      </c>
      <c r="AX976" s="87"/>
      <c r="AY976" s="87"/>
      <c r="AZ976" s="87"/>
      <c r="BA976" s="91" t="s">
        <v>4456</v>
      </c>
      <c r="BB976" s="84"/>
      <c r="BC976" s="85"/>
      <c r="BD976" s="85"/>
    </row>
    <row r="977" spans="1:56" s="86" customFormat="1" ht="46.5" customHeight="1">
      <c r="A977" s="87">
        <v>972</v>
      </c>
      <c r="B977" s="79" t="s">
        <v>4457</v>
      </c>
      <c r="C977" s="88">
        <v>45558</v>
      </c>
      <c r="D977" s="89">
        <v>0.33333333333333331</v>
      </c>
      <c r="E977" s="87" t="s">
        <v>353</v>
      </c>
      <c r="F977" s="87" t="s">
        <v>135</v>
      </c>
      <c r="G977" s="87" t="s">
        <v>62</v>
      </c>
      <c r="H977" s="90" t="s">
        <v>4449</v>
      </c>
      <c r="I977" s="90" t="s">
        <v>64</v>
      </c>
      <c r="J977" s="87" t="s">
        <v>70</v>
      </c>
      <c r="K977" s="87" t="s">
        <v>71</v>
      </c>
      <c r="L977" s="90" t="s">
        <v>72</v>
      </c>
      <c r="M977" s="91" t="s">
        <v>72</v>
      </c>
      <c r="N977" s="90" t="s">
        <v>72</v>
      </c>
      <c r="O977" s="90" t="str">
        <f>_xlfn.TEXTJOIN(", ",TRUE,$P977:$T977)</f>
        <v>Distrital</v>
      </c>
      <c r="P977" s="87" t="s">
        <v>73</v>
      </c>
      <c r="Q977" s="87"/>
      <c r="R977" s="87"/>
      <c r="S977" s="87"/>
      <c r="T977" s="87"/>
      <c r="U977" s="87"/>
      <c r="V977" s="90" t="str">
        <f t="shared" si="137"/>
        <v>Distrital</v>
      </c>
      <c r="W977" s="87" t="s">
        <v>73</v>
      </c>
      <c r="X977" s="87"/>
      <c r="Y977" s="87"/>
      <c r="Z977" s="87"/>
      <c r="AA977" s="87"/>
      <c r="AB977" s="87"/>
      <c r="AC977" s="90" t="str">
        <f t="shared" si="138"/>
        <v>Distrital</v>
      </c>
      <c r="AD977" s="87" t="s">
        <v>73</v>
      </c>
      <c r="AE977" s="87"/>
      <c r="AF977" s="87"/>
      <c r="AG977" s="87"/>
      <c r="AH977" s="87"/>
      <c r="AI977" s="87"/>
      <c r="AJ977" s="87"/>
      <c r="AK977" s="87"/>
      <c r="AL977" s="87"/>
      <c r="AM977" s="87"/>
      <c r="AN977" s="90" t="s">
        <v>80</v>
      </c>
      <c r="AO977" s="90" t="s">
        <v>4436</v>
      </c>
      <c r="AP977" s="82"/>
      <c r="AQ977" s="87" t="s">
        <v>59</v>
      </c>
      <c r="AR977" s="87" t="s">
        <v>80</v>
      </c>
      <c r="AS977" s="82"/>
      <c r="AT977" s="87">
        <v>0</v>
      </c>
      <c r="AU977" s="87">
        <v>11</v>
      </c>
      <c r="AV977" s="87">
        <f t="shared" si="208"/>
        <v>11</v>
      </c>
      <c r="AW977" s="87" t="str">
        <f t="shared" si="207"/>
        <v/>
      </c>
      <c r="AX977" s="87"/>
      <c r="AY977" s="87"/>
      <c r="AZ977" s="87"/>
      <c r="BA977" s="91" t="s">
        <v>4458</v>
      </c>
      <c r="BB977" s="84"/>
      <c r="BC977" s="85"/>
      <c r="BD977" s="85"/>
    </row>
    <row r="978" spans="1:56" s="86" customFormat="1" ht="46.5" customHeight="1">
      <c r="A978" s="78">
        <v>973</v>
      </c>
      <c r="B978" s="79" t="s">
        <v>2908</v>
      </c>
      <c r="C978" s="88">
        <v>45558</v>
      </c>
      <c r="D978" s="89">
        <v>0.4375</v>
      </c>
      <c r="E978" s="87" t="s">
        <v>58</v>
      </c>
      <c r="F978" s="87" t="s">
        <v>1750</v>
      </c>
      <c r="G978" s="87" t="s">
        <v>62</v>
      </c>
      <c r="H978" s="90" t="s">
        <v>4459</v>
      </c>
      <c r="I978" s="90" t="s">
        <v>118</v>
      </c>
      <c r="J978" s="87" t="s">
        <v>70</v>
      </c>
      <c r="K978" s="87" t="s">
        <v>71</v>
      </c>
      <c r="L978" s="90" t="s">
        <v>3661</v>
      </c>
      <c r="M978" s="91" t="s">
        <v>4460</v>
      </c>
      <c r="N978" s="90" t="s">
        <v>4461</v>
      </c>
      <c r="O978" s="90" t="str">
        <f>_xlfn.TEXTJOIN(", ",TRUE,$P978:$T978)</f>
        <v>Distrital</v>
      </c>
      <c r="P978" s="87" t="s">
        <v>73</v>
      </c>
      <c r="Q978" s="87"/>
      <c r="R978" s="87"/>
      <c r="S978" s="87"/>
      <c r="T978" s="87"/>
      <c r="U978" s="87"/>
      <c r="V978" s="90" t="str">
        <f>_xlfn.TEXTJOIN(", ",TRUE,$W978:$AB978)</f>
        <v>Distrital</v>
      </c>
      <c r="W978" s="87" t="s">
        <v>73</v>
      </c>
      <c r="X978" s="87"/>
      <c r="Y978" s="87"/>
      <c r="Z978" s="87"/>
      <c r="AA978" s="87"/>
      <c r="AB978" s="87"/>
      <c r="AC978" s="90" t="str">
        <f>_xlfn.TEXTJOIN(", ",TRUE,$AD978:$AM978)</f>
        <v>Distrital</v>
      </c>
      <c r="AD978" s="87" t="s">
        <v>73</v>
      </c>
      <c r="AE978" s="87"/>
      <c r="AF978" s="87"/>
      <c r="AG978" s="87"/>
      <c r="AH978" s="87"/>
      <c r="AI978" s="87"/>
      <c r="AJ978" s="87"/>
      <c r="AK978" s="87"/>
      <c r="AL978" s="87"/>
      <c r="AM978" s="87"/>
      <c r="AN978" s="90" t="s">
        <v>72</v>
      </c>
      <c r="AO978" s="90" t="s">
        <v>4462</v>
      </c>
      <c r="AP978" s="82"/>
      <c r="AQ978" s="87" t="s">
        <v>59</v>
      </c>
      <c r="AR978" s="87" t="s">
        <v>80</v>
      </c>
      <c r="AS978" s="82"/>
      <c r="AT978" s="87">
        <v>14</v>
      </c>
      <c r="AU978" s="87">
        <v>9</v>
      </c>
      <c r="AV978" s="87">
        <f t="shared" si="208"/>
        <v>23</v>
      </c>
      <c r="AW978" s="87" t="str">
        <f>_xlfn.TEXTJOIN(", ",TRUE,$AX978:$AZ978)</f>
        <v>Ninguna</v>
      </c>
      <c r="AX978" s="87" t="s">
        <v>75</v>
      </c>
      <c r="AY978" s="87"/>
      <c r="AZ978" s="87"/>
      <c r="BA978" s="91" t="s">
        <v>4463</v>
      </c>
      <c r="BB978" s="84"/>
      <c r="BC978" s="85"/>
      <c r="BD978" s="85"/>
    </row>
    <row r="979" spans="1:56" s="86" customFormat="1" ht="46.5" customHeight="1">
      <c r="A979" s="87">
        <v>974</v>
      </c>
      <c r="B979" s="79" t="s">
        <v>4464</v>
      </c>
      <c r="C979" s="88">
        <v>45558</v>
      </c>
      <c r="D979" s="89">
        <v>0.54166666666666663</v>
      </c>
      <c r="E979" s="87" t="s">
        <v>353</v>
      </c>
      <c r="F979" s="87" t="s">
        <v>135</v>
      </c>
      <c r="G979" s="87" t="s">
        <v>62</v>
      </c>
      <c r="H979" s="90" t="s">
        <v>4449</v>
      </c>
      <c r="I979" s="90" t="s">
        <v>64</v>
      </c>
      <c r="J979" s="87" t="s">
        <v>70</v>
      </c>
      <c r="K979" s="87" t="s">
        <v>71</v>
      </c>
      <c r="L979" s="90" t="s">
        <v>72</v>
      </c>
      <c r="M979" s="91" t="s">
        <v>72</v>
      </c>
      <c r="N979" s="90" t="s">
        <v>72</v>
      </c>
      <c r="O979" s="90" t="s">
        <v>73</v>
      </c>
      <c r="P979" s="87" t="s">
        <v>73</v>
      </c>
      <c r="Q979" s="87"/>
      <c r="R979" s="87"/>
      <c r="S979" s="87"/>
      <c r="T979" s="87"/>
      <c r="U979" s="87"/>
      <c r="V979" s="90" t="s">
        <v>73</v>
      </c>
      <c r="W979" s="87" t="s">
        <v>73</v>
      </c>
      <c r="X979" s="87"/>
      <c r="Y979" s="87"/>
      <c r="Z979" s="87"/>
      <c r="AA979" s="87"/>
      <c r="AB979" s="87"/>
      <c r="AC979" s="90" t="s">
        <v>73</v>
      </c>
      <c r="AD979" s="87" t="s">
        <v>73</v>
      </c>
      <c r="AE979" s="87"/>
      <c r="AF979" s="87"/>
      <c r="AG979" s="87"/>
      <c r="AH979" s="87"/>
      <c r="AI979" s="87"/>
      <c r="AJ979" s="87"/>
      <c r="AK979" s="87"/>
      <c r="AL979" s="87"/>
      <c r="AM979" s="87"/>
      <c r="AN979" s="90" t="s">
        <v>80</v>
      </c>
      <c r="AO979" s="90" t="s">
        <v>4436</v>
      </c>
      <c r="AP979" s="82"/>
      <c r="AQ979" s="87" t="s">
        <v>59</v>
      </c>
      <c r="AR979" s="87" t="s">
        <v>80</v>
      </c>
      <c r="AS979" s="82"/>
      <c r="AT979" s="87">
        <v>0</v>
      </c>
      <c r="AU979" s="87">
        <v>10</v>
      </c>
      <c r="AV979" s="87">
        <f t="shared" si="208"/>
        <v>10</v>
      </c>
      <c r="AW979" s="87" t="s">
        <v>184</v>
      </c>
      <c r="AX979" s="87"/>
      <c r="AY979" s="87"/>
      <c r="AZ979" s="87"/>
      <c r="BA979" s="91" t="s">
        <v>4465</v>
      </c>
      <c r="BB979" s="84"/>
      <c r="BC979" s="85"/>
      <c r="BD979" s="85"/>
    </row>
    <row r="980" spans="1:56" s="86" customFormat="1" ht="46.5" customHeight="1">
      <c r="A980" s="78">
        <v>975</v>
      </c>
      <c r="B980" s="79" t="s">
        <v>4466</v>
      </c>
      <c r="C980" s="88">
        <v>45558</v>
      </c>
      <c r="D980" s="89">
        <v>0.54166666666666663</v>
      </c>
      <c r="E980" s="87" t="s">
        <v>353</v>
      </c>
      <c r="F980" s="87" t="s">
        <v>135</v>
      </c>
      <c r="G980" s="87" t="s">
        <v>62</v>
      </c>
      <c r="H980" s="90" t="s">
        <v>4449</v>
      </c>
      <c r="I980" s="90" t="s">
        <v>64</v>
      </c>
      <c r="J980" s="87" t="s">
        <v>70</v>
      </c>
      <c r="K980" s="87" t="s">
        <v>71</v>
      </c>
      <c r="L980" s="90" t="s">
        <v>72</v>
      </c>
      <c r="M980" s="91" t="s">
        <v>72</v>
      </c>
      <c r="N980" s="90" t="s">
        <v>72</v>
      </c>
      <c r="O980" s="90" t="s">
        <v>73</v>
      </c>
      <c r="P980" s="87" t="s">
        <v>73</v>
      </c>
      <c r="Q980" s="87"/>
      <c r="R980" s="87"/>
      <c r="S980" s="87"/>
      <c r="T980" s="87"/>
      <c r="U980" s="87"/>
      <c r="V980" s="90" t="s">
        <v>73</v>
      </c>
      <c r="W980" s="87" t="s">
        <v>73</v>
      </c>
      <c r="X980" s="87"/>
      <c r="Y980" s="87"/>
      <c r="Z980" s="87"/>
      <c r="AA980" s="87"/>
      <c r="AB980" s="87"/>
      <c r="AC980" s="90" t="s">
        <v>73</v>
      </c>
      <c r="AD980" s="87" t="s">
        <v>73</v>
      </c>
      <c r="AE980" s="87"/>
      <c r="AF980" s="87"/>
      <c r="AG980" s="87"/>
      <c r="AH980" s="87"/>
      <c r="AI980" s="87"/>
      <c r="AJ980" s="87"/>
      <c r="AK980" s="87"/>
      <c r="AL980" s="87"/>
      <c r="AM980" s="87"/>
      <c r="AN980" s="90" t="s">
        <v>80</v>
      </c>
      <c r="AO980" s="90" t="s">
        <v>4436</v>
      </c>
      <c r="AP980" s="82"/>
      <c r="AQ980" s="87" t="s">
        <v>59</v>
      </c>
      <c r="AR980" s="87" t="s">
        <v>80</v>
      </c>
      <c r="AS980" s="82"/>
      <c r="AT980" s="87">
        <v>0</v>
      </c>
      <c r="AU980" s="87">
        <v>10</v>
      </c>
      <c r="AV980" s="87">
        <f t="shared" si="208"/>
        <v>10</v>
      </c>
      <c r="AW980" s="87" t="s">
        <v>184</v>
      </c>
      <c r="AX980" s="87"/>
      <c r="AY980" s="87"/>
      <c r="AZ980" s="87"/>
      <c r="BA980" s="91" t="s">
        <v>4467</v>
      </c>
      <c r="BB980" s="84"/>
      <c r="BC980" s="85"/>
      <c r="BD980" s="85"/>
    </row>
    <row r="981" spans="1:56" s="86" customFormat="1" ht="46.5" customHeight="1">
      <c r="A981" s="87">
        <v>976</v>
      </c>
      <c r="B981" s="79" t="s">
        <v>4468</v>
      </c>
      <c r="C981" s="88">
        <v>45558</v>
      </c>
      <c r="D981" s="89">
        <v>0.54166666666666663</v>
      </c>
      <c r="E981" s="87" t="s">
        <v>353</v>
      </c>
      <c r="F981" s="87" t="s">
        <v>135</v>
      </c>
      <c r="G981" s="87" t="s">
        <v>62</v>
      </c>
      <c r="H981" s="90" t="s">
        <v>4469</v>
      </c>
      <c r="I981" s="90" t="s">
        <v>64</v>
      </c>
      <c r="J981" s="87" t="s">
        <v>70</v>
      </c>
      <c r="K981" s="87" t="s">
        <v>71</v>
      </c>
      <c r="L981" s="90" t="s">
        <v>4470</v>
      </c>
      <c r="M981" s="91" t="s">
        <v>72</v>
      </c>
      <c r="N981" s="90" t="s">
        <v>2142</v>
      </c>
      <c r="O981" s="90" t="s">
        <v>73</v>
      </c>
      <c r="P981" s="87" t="s">
        <v>73</v>
      </c>
      <c r="Q981" s="87"/>
      <c r="R981" s="87"/>
      <c r="S981" s="87"/>
      <c r="T981" s="87"/>
      <c r="U981" s="87"/>
      <c r="V981" s="90" t="s">
        <v>73</v>
      </c>
      <c r="W981" s="87" t="s">
        <v>73</v>
      </c>
      <c r="X981" s="87"/>
      <c r="Y981" s="87"/>
      <c r="Z981" s="87"/>
      <c r="AA981" s="87"/>
      <c r="AB981" s="87"/>
      <c r="AC981" s="90" t="s">
        <v>73</v>
      </c>
      <c r="AD981" s="87" t="s">
        <v>73</v>
      </c>
      <c r="AE981" s="87"/>
      <c r="AF981" s="87"/>
      <c r="AG981" s="87"/>
      <c r="AH981" s="87"/>
      <c r="AI981" s="87"/>
      <c r="AJ981" s="87"/>
      <c r="AK981" s="87"/>
      <c r="AL981" s="87"/>
      <c r="AM981" s="87"/>
      <c r="AN981" s="90" t="s">
        <v>80</v>
      </c>
      <c r="AO981" s="90" t="s">
        <v>4436</v>
      </c>
      <c r="AP981" s="82"/>
      <c r="AQ981" s="87" t="s">
        <v>59</v>
      </c>
      <c r="AR981" s="87" t="s">
        <v>80</v>
      </c>
      <c r="AS981" s="82"/>
      <c r="AT981" s="87">
        <v>0</v>
      </c>
      <c r="AU981" s="87">
        <v>12</v>
      </c>
      <c r="AV981" s="87">
        <f t="shared" si="208"/>
        <v>12</v>
      </c>
      <c r="AW981" s="87" t="str">
        <f>_xlfn.TEXTJOIN(", ",TRUE,$AX981:$AZ981)</f>
        <v>Horarios Acordes</v>
      </c>
      <c r="AX981" s="87" t="s">
        <v>213</v>
      </c>
      <c r="AY981" s="87"/>
      <c r="AZ981" s="87"/>
      <c r="BA981" s="91" t="s">
        <v>4471</v>
      </c>
      <c r="BB981" s="84"/>
      <c r="BC981" s="85"/>
      <c r="BD981" s="85"/>
    </row>
    <row r="982" spans="1:56" s="86" customFormat="1" ht="46.5" customHeight="1">
      <c r="A982" s="78">
        <v>977</v>
      </c>
      <c r="B982" s="79" t="s">
        <v>4472</v>
      </c>
      <c r="C982" s="88">
        <v>45558</v>
      </c>
      <c r="D982" s="89">
        <v>0.54166666666666663</v>
      </c>
      <c r="E982" s="87" t="s">
        <v>353</v>
      </c>
      <c r="F982" s="87" t="s">
        <v>135</v>
      </c>
      <c r="G982" s="87" t="s">
        <v>62</v>
      </c>
      <c r="H982" s="90" t="s">
        <v>4449</v>
      </c>
      <c r="I982" s="90" t="s">
        <v>64</v>
      </c>
      <c r="J982" s="87" t="s">
        <v>70</v>
      </c>
      <c r="K982" s="87" t="s">
        <v>71</v>
      </c>
      <c r="L982" s="90" t="s">
        <v>72</v>
      </c>
      <c r="M982" s="91" t="s">
        <v>72</v>
      </c>
      <c r="N982" s="90" t="s">
        <v>72</v>
      </c>
      <c r="O982" s="90" t="s">
        <v>73</v>
      </c>
      <c r="P982" s="87" t="s">
        <v>73</v>
      </c>
      <c r="Q982" s="87"/>
      <c r="R982" s="87"/>
      <c r="S982" s="87"/>
      <c r="T982" s="87"/>
      <c r="U982" s="87"/>
      <c r="V982" s="90" t="s">
        <v>73</v>
      </c>
      <c r="W982" s="87" t="s">
        <v>73</v>
      </c>
      <c r="X982" s="87"/>
      <c r="Y982" s="87"/>
      <c r="Z982" s="87"/>
      <c r="AA982" s="87"/>
      <c r="AB982" s="87"/>
      <c r="AC982" s="90" t="s">
        <v>73</v>
      </c>
      <c r="AD982" s="87" t="s">
        <v>73</v>
      </c>
      <c r="AE982" s="87"/>
      <c r="AF982" s="87"/>
      <c r="AG982" s="87"/>
      <c r="AH982" s="87"/>
      <c r="AI982" s="87"/>
      <c r="AJ982" s="87"/>
      <c r="AK982" s="87"/>
      <c r="AL982" s="87"/>
      <c r="AM982" s="87"/>
      <c r="AN982" s="90" t="s">
        <v>80</v>
      </c>
      <c r="AO982" s="90" t="s">
        <v>4436</v>
      </c>
      <c r="AP982" s="82"/>
      <c r="AQ982" s="87" t="s">
        <v>59</v>
      </c>
      <c r="AR982" s="87" t="s">
        <v>80</v>
      </c>
      <c r="AS982" s="82"/>
      <c r="AT982" s="87">
        <v>0</v>
      </c>
      <c r="AU982" s="87">
        <v>10</v>
      </c>
      <c r="AV982" s="87">
        <f t="shared" si="208"/>
        <v>10</v>
      </c>
      <c r="AW982" s="87" t="s">
        <v>184</v>
      </c>
      <c r="AX982" s="87"/>
      <c r="AY982" s="87"/>
      <c r="AZ982" s="87"/>
      <c r="BA982" s="91" t="s">
        <v>4450</v>
      </c>
      <c r="BB982" s="84"/>
      <c r="BC982" s="85"/>
      <c r="BD982" s="85"/>
    </row>
    <row r="983" spans="1:56" s="86" customFormat="1" ht="46.5" customHeight="1">
      <c r="A983" s="87">
        <v>978</v>
      </c>
      <c r="B983" s="79" t="s">
        <v>4473</v>
      </c>
      <c r="C983" s="88">
        <v>45558</v>
      </c>
      <c r="D983" s="89">
        <v>0.58333333333333337</v>
      </c>
      <c r="E983" s="87" t="s">
        <v>58</v>
      </c>
      <c r="F983" s="87" t="s">
        <v>2121</v>
      </c>
      <c r="G983" s="87" t="s">
        <v>62</v>
      </c>
      <c r="H983" s="90" t="s">
        <v>4474</v>
      </c>
      <c r="I983" s="90" t="s">
        <v>64</v>
      </c>
      <c r="J983" s="87" t="s">
        <v>70</v>
      </c>
      <c r="K983" s="87" t="s">
        <v>71</v>
      </c>
      <c r="L983" s="90" t="s">
        <v>72</v>
      </c>
      <c r="M983" s="91" t="s">
        <v>72</v>
      </c>
      <c r="N983" s="90" t="s">
        <v>72</v>
      </c>
      <c r="O983" s="94" t="str">
        <f>_xlfn.TEXTJOIN(", ",TRUE,$P983:$T983)</f>
        <v>Distrital</v>
      </c>
      <c r="P983" s="87" t="s">
        <v>73</v>
      </c>
      <c r="Q983" s="87"/>
      <c r="R983" s="87"/>
      <c r="S983" s="87"/>
      <c r="T983" s="87"/>
      <c r="U983" s="87"/>
      <c r="V983" s="90" t="str">
        <f t="shared" si="137"/>
        <v>Distrital</v>
      </c>
      <c r="W983" s="87" t="s">
        <v>73</v>
      </c>
      <c r="X983" s="87"/>
      <c r="Y983" s="87"/>
      <c r="Z983" s="87"/>
      <c r="AA983" s="87"/>
      <c r="AB983" s="87"/>
      <c r="AC983" s="90" t="str">
        <f t="shared" si="138"/>
        <v>Distrital</v>
      </c>
      <c r="AD983" s="87" t="s">
        <v>73</v>
      </c>
      <c r="AE983" s="87"/>
      <c r="AF983" s="87"/>
      <c r="AG983" s="87"/>
      <c r="AH983" s="87"/>
      <c r="AI983" s="87"/>
      <c r="AJ983" s="87"/>
      <c r="AK983" s="87"/>
      <c r="AL983" s="87"/>
      <c r="AM983" s="87"/>
      <c r="AN983" s="90" t="s">
        <v>4475</v>
      </c>
      <c r="AO983" s="90" t="s">
        <v>4476</v>
      </c>
      <c r="AP983" s="82"/>
      <c r="AQ983" s="87" t="s">
        <v>59</v>
      </c>
      <c r="AR983" s="87" t="s">
        <v>80</v>
      </c>
      <c r="AS983" s="82"/>
      <c r="AT983" s="87">
        <v>16</v>
      </c>
      <c r="AU983" s="87">
        <v>9</v>
      </c>
      <c r="AV983" s="87">
        <f t="shared" si="46"/>
        <v>25</v>
      </c>
      <c r="AW983" s="87"/>
      <c r="AX983" s="87"/>
      <c r="AY983" s="87"/>
      <c r="AZ983" s="87"/>
      <c r="BA983" s="91" t="s">
        <v>4477</v>
      </c>
      <c r="BB983" s="84"/>
      <c r="BC983" s="85"/>
      <c r="BD983" s="85"/>
    </row>
    <row r="984" spans="1:56" s="86" customFormat="1" ht="46.5" customHeight="1">
      <c r="A984" s="78">
        <v>979</v>
      </c>
      <c r="B984" s="79" t="s">
        <v>4478</v>
      </c>
      <c r="C984" s="88">
        <v>45558</v>
      </c>
      <c r="D984" s="89">
        <v>0.58333333333333337</v>
      </c>
      <c r="E984" s="87" t="s">
        <v>58</v>
      </c>
      <c r="F984" s="87" t="s">
        <v>1437</v>
      </c>
      <c r="G984" s="87" t="s">
        <v>95</v>
      </c>
      <c r="H984" s="90" t="s">
        <v>4479</v>
      </c>
      <c r="I984" s="90" t="s">
        <v>118</v>
      </c>
      <c r="J984" s="87" t="s">
        <v>173</v>
      </c>
      <c r="K984" s="87"/>
      <c r="L984" s="90" t="s">
        <v>72</v>
      </c>
      <c r="M984" s="91" t="s">
        <v>72</v>
      </c>
      <c r="N984" s="90" t="s">
        <v>72</v>
      </c>
      <c r="O984" s="94" t="str">
        <f>_xlfn.TEXTJOIN(", ",TRUE,$P984:$T984)</f>
        <v>Distrital</v>
      </c>
      <c r="P984" s="87" t="s">
        <v>73</v>
      </c>
      <c r="Q984" s="87"/>
      <c r="R984" s="87"/>
      <c r="S984" s="87"/>
      <c r="T984" s="87"/>
      <c r="U984" s="87"/>
      <c r="V984" s="90" t="str">
        <f>_xlfn.TEXTJOIN(", ",TRUE,$W984:$AB984)</f>
        <v>Distrital</v>
      </c>
      <c r="W984" s="87" t="s">
        <v>73</v>
      </c>
      <c r="X984" s="87"/>
      <c r="Y984" s="87"/>
      <c r="Z984" s="87"/>
      <c r="AA984" s="87"/>
      <c r="AB984" s="87"/>
      <c r="AC984" s="90" t="str">
        <f>_xlfn.TEXTJOIN(", ",TRUE,$AD984:$AM984)</f>
        <v>Distrital</v>
      </c>
      <c r="AD984" s="87" t="s">
        <v>73</v>
      </c>
      <c r="AE984" s="87"/>
      <c r="AF984" s="87"/>
      <c r="AG984" s="87"/>
      <c r="AH984" s="87"/>
      <c r="AI984" s="87"/>
      <c r="AJ984" s="87"/>
      <c r="AK984" s="87"/>
      <c r="AL984" s="87"/>
      <c r="AM984" s="87"/>
      <c r="AN984" s="90" t="s">
        <v>80</v>
      </c>
      <c r="AO984" s="102" t="s">
        <v>2667</v>
      </c>
      <c r="AP984" s="82"/>
      <c r="AQ984" s="87" t="s">
        <v>59</v>
      </c>
      <c r="AR984" s="87" t="s">
        <v>80</v>
      </c>
      <c r="AS984" s="82"/>
      <c r="AT984" s="87">
        <v>9</v>
      </c>
      <c r="AU984" s="87">
        <v>5</v>
      </c>
      <c r="AV984" s="87">
        <f>AT984+AU984</f>
        <v>14</v>
      </c>
      <c r="AW984" s="87" t="s">
        <v>184</v>
      </c>
      <c r="AX984" s="87"/>
      <c r="AY984" s="87"/>
      <c r="AZ984" s="87"/>
      <c r="BA984" s="91" t="s">
        <v>4480</v>
      </c>
      <c r="BB984" s="84"/>
      <c r="BC984" s="85"/>
      <c r="BD984" s="85"/>
    </row>
    <row r="985" spans="1:56" s="86" customFormat="1" ht="46.5" customHeight="1">
      <c r="A985" s="87">
        <v>980</v>
      </c>
      <c r="B985" s="90" t="s">
        <v>655</v>
      </c>
      <c r="C985" s="88">
        <v>45558</v>
      </c>
      <c r="D985" s="89">
        <v>0.58333333333333337</v>
      </c>
      <c r="E985" s="87" t="s">
        <v>93</v>
      </c>
      <c r="F985" s="87" t="s">
        <v>321</v>
      </c>
      <c r="G985" s="87" t="s">
        <v>95</v>
      </c>
      <c r="H985" s="90" t="s">
        <v>4481</v>
      </c>
      <c r="I985" s="90" t="s">
        <v>118</v>
      </c>
      <c r="J985" s="87" t="s">
        <v>70</v>
      </c>
      <c r="K985" s="87" t="s">
        <v>1810</v>
      </c>
      <c r="L985" s="90" t="s">
        <v>4482</v>
      </c>
      <c r="M985" s="91" t="s">
        <v>4483</v>
      </c>
      <c r="N985" s="90" t="s">
        <v>4484</v>
      </c>
      <c r="O985" s="94" t="str">
        <f>_xlfn.TEXTJOIN(", ",TRUE,$P985:$T985)</f>
        <v>Antonio Nariño</v>
      </c>
      <c r="P985" s="87" t="s">
        <v>413</v>
      </c>
      <c r="Q985" s="87"/>
      <c r="R985" s="87"/>
      <c r="S985" s="87"/>
      <c r="T985" s="87"/>
      <c r="U985" s="87"/>
      <c r="V985" s="90" t="str">
        <f t="shared" si="137"/>
        <v>Centro Ampliado</v>
      </c>
      <c r="W985" s="87" t="s">
        <v>415</v>
      </c>
      <c r="X985" s="87"/>
      <c r="Y985" s="87"/>
      <c r="Z985" s="87"/>
      <c r="AA985" s="87"/>
      <c r="AB985" s="87"/>
      <c r="AC985" s="90" t="str">
        <f t="shared" si="138"/>
        <v>Restrepo</v>
      </c>
      <c r="AD985" s="87" t="s">
        <v>416</v>
      </c>
      <c r="AE985" s="87"/>
      <c r="AF985" s="87"/>
      <c r="AG985" s="87"/>
      <c r="AH985" s="87"/>
      <c r="AI985" s="87"/>
      <c r="AJ985" s="87"/>
      <c r="AK985" s="87"/>
      <c r="AL985" s="87"/>
      <c r="AM985" s="87"/>
      <c r="AN985" s="90" t="s">
        <v>80</v>
      </c>
      <c r="AO985" s="102" t="s">
        <v>2667</v>
      </c>
      <c r="AP985" s="82"/>
      <c r="AQ985" s="87" t="s">
        <v>59</v>
      </c>
      <c r="AR985" s="87" t="s">
        <v>80</v>
      </c>
      <c r="AS985" s="82"/>
      <c r="AT985" s="87">
        <v>16</v>
      </c>
      <c r="AU985" s="87">
        <v>1</v>
      </c>
      <c r="AV985" s="87">
        <f t="shared" si="46"/>
        <v>17</v>
      </c>
      <c r="AW985" s="87" t="str">
        <f t="shared" si="54"/>
        <v/>
      </c>
      <c r="AX985" s="87"/>
      <c r="AY985" s="87"/>
      <c r="AZ985" s="87"/>
      <c r="BA985" s="91" t="s">
        <v>4485</v>
      </c>
      <c r="BB985" s="84"/>
      <c r="BC985" s="85"/>
      <c r="BD985" s="85"/>
    </row>
    <row r="986" spans="1:56" s="86" customFormat="1" ht="46.5" customHeight="1">
      <c r="A986" s="78">
        <v>981</v>
      </c>
      <c r="B986" s="79" t="s">
        <v>4486</v>
      </c>
      <c r="C986" s="88">
        <v>45558</v>
      </c>
      <c r="D986" s="89">
        <v>0.64583333333333337</v>
      </c>
      <c r="E986" s="87" t="s">
        <v>58</v>
      </c>
      <c r="F986" s="87" t="s">
        <v>1437</v>
      </c>
      <c r="G986" s="87" t="s">
        <v>95</v>
      </c>
      <c r="H986" s="90" t="s">
        <v>4487</v>
      </c>
      <c r="I986" s="90" t="s">
        <v>118</v>
      </c>
      <c r="J986" s="87" t="s">
        <v>173</v>
      </c>
      <c r="K986" s="87"/>
      <c r="L986" s="90" t="s">
        <v>80</v>
      </c>
      <c r="M986" s="91" t="s">
        <v>80</v>
      </c>
      <c r="N986" s="90" t="s">
        <v>80</v>
      </c>
      <c r="O986" s="94" t="str">
        <f>_xlfn.TEXTJOIN(", ",TRUE,$P986:$T986)</f>
        <v>Distrital</v>
      </c>
      <c r="P986" s="87" t="s">
        <v>73</v>
      </c>
      <c r="Q986" s="87"/>
      <c r="R986" s="87"/>
      <c r="S986" s="87"/>
      <c r="T986" s="87"/>
      <c r="U986" s="87"/>
      <c r="V986" s="90" t="str">
        <f t="shared" si="137"/>
        <v>Distrital</v>
      </c>
      <c r="W986" s="87" t="s">
        <v>73</v>
      </c>
      <c r="X986" s="87"/>
      <c r="Y986" s="87"/>
      <c r="Z986" s="87"/>
      <c r="AA986" s="87"/>
      <c r="AB986" s="87"/>
      <c r="AC986" s="90" t="str">
        <f t="shared" si="138"/>
        <v>Distrital</v>
      </c>
      <c r="AD986" s="87" t="s">
        <v>73</v>
      </c>
      <c r="AE986" s="87"/>
      <c r="AF986" s="87"/>
      <c r="AG986" s="87"/>
      <c r="AH986" s="87"/>
      <c r="AI986" s="87"/>
      <c r="AJ986" s="87"/>
      <c r="AK986" s="87"/>
      <c r="AL986" s="87"/>
      <c r="AM986" s="87"/>
      <c r="AN986" s="90" t="s">
        <v>80</v>
      </c>
      <c r="AO986" s="102" t="s">
        <v>2667</v>
      </c>
      <c r="AP986" s="82"/>
      <c r="AQ986" s="87" t="s">
        <v>59</v>
      </c>
      <c r="AR986" s="87" t="s">
        <v>80</v>
      </c>
      <c r="AS986" s="82"/>
      <c r="AT986" s="87">
        <v>0</v>
      </c>
      <c r="AU986" s="87">
        <v>5</v>
      </c>
      <c r="AV986" s="87">
        <f t="shared" si="46"/>
        <v>5</v>
      </c>
      <c r="AW986" s="87" t="str">
        <f t="shared" si="54"/>
        <v/>
      </c>
      <c r="AX986" s="87"/>
      <c r="AY986" s="87"/>
      <c r="AZ986" s="87"/>
      <c r="BA986" s="91" t="s">
        <v>4488</v>
      </c>
      <c r="BB986" s="84"/>
      <c r="BC986" s="85"/>
      <c r="BD986" s="85"/>
    </row>
    <row r="987" spans="1:56" s="86" customFormat="1" ht="46.5" customHeight="1">
      <c r="A987" s="87">
        <v>982</v>
      </c>
      <c r="B987" s="79" t="s">
        <v>4489</v>
      </c>
      <c r="C987" s="88">
        <v>45558</v>
      </c>
      <c r="D987" s="89">
        <v>0.66666666666666663</v>
      </c>
      <c r="E987" s="87" t="s">
        <v>58</v>
      </c>
      <c r="F987" s="87" t="s">
        <v>1769</v>
      </c>
      <c r="G987" s="87" t="s">
        <v>62</v>
      </c>
      <c r="H987" s="90" t="s">
        <v>4490</v>
      </c>
      <c r="I987" s="90" t="s">
        <v>118</v>
      </c>
      <c r="J987" s="87" t="s">
        <v>3798</v>
      </c>
      <c r="K987" s="87" t="s">
        <v>4492</v>
      </c>
      <c r="L987" s="90" t="s">
        <v>4493</v>
      </c>
      <c r="M987" s="91" t="s">
        <v>80</v>
      </c>
      <c r="N987" s="90" t="s">
        <v>80</v>
      </c>
      <c r="O987" s="90" t="str">
        <f t="shared" si="133"/>
        <v>Distrital</v>
      </c>
      <c r="P987" s="87" t="s">
        <v>73</v>
      </c>
      <c r="Q987" s="87"/>
      <c r="R987" s="87"/>
      <c r="S987" s="87"/>
      <c r="T987" s="87"/>
      <c r="U987" s="87"/>
      <c r="V987" s="90" t="str">
        <f t="shared" si="137"/>
        <v>Distrital</v>
      </c>
      <c r="W987" s="87" t="s">
        <v>73</v>
      </c>
      <c r="X987" s="87"/>
      <c r="Y987" s="87"/>
      <c r="Z987" s="87"/>
      <c r="AA987" s="87"/>
      <c r="AB987" s="87"/>
      <c r="AC987" s="90" t="str">
        <f t="shared" si="138"/>
        <v>Distrital</v>
      </c>
      <c r="AD987" s="87" t="s">
        <v>73</v>
      </c>
      <c r="AE987" s="87"/>
      <c r="AF987" s="87"/>
      <c r="AG987" s="87"/>
      <c r="AH987" s="87"/>
      <c r="AI987" s="87"/>
      <c r="AJ987" s="87"/>
      <c r="AK987" s="87"/>
      <c r="AL987" s="87"/>
      <c r="AM987" s="87"/>
      <c r="AN987" s="90" t="s">
        <v>80</v>
      </c>
      <c r="AO987" s="90" t="s">
        <v>4494</v>
      </c>
      <c r="AP987" s="82"/>
      <c r="AQ987" s="87" t="s">
        <v>59</v>
      </c>
      <c r="AR987" s="87" t="s">
        <v>80</v>
      </c>
      <c r="AS987" s="82"/>
      <c r="AT987" s="87">
        <v>28</v>
      </c>
      <c r="AU987" s="87">
        <v>1</v>
      </c>
      <c r="AV987" s="87">
        <f t="shared" si="174"/>
        <v>29</v>
      </c>
      <c r="AW987" s="87" t="str">
        <f t="shared" ref="AW987" si="209">_xlfn.TEXTJOIN(", ",TRUE,$AX987:$AZ987)</f>
        <v>Horarios Acordes</v>
      </c>
      <c r="AX987" s="87" t="s">
        <v>213</v>
      </c>
      <c r="AY987" s="87"/>
      <c r="AZ987" s="87"/>
      <c r="BA987" s="91" t="s">
        <v>4495</v>
      </c>
      <c r="BB987" s="84"/>
      <c r="BC987" s="85"/>
      <c r="BD987" s="85"/>
    </row>
    <row r="988" spans="1:56" s="86" customFormat="1" ht="46.5" customHeight="1">
      <c r="A988" s="78">
        <v>983</v>
      </c>
      <c r="B988" s="90" t="s">
        <v>3221</v>
      </c>
      <c r="C988" s="88">
        <v>45558</v>
      </c>
      <c r="D988" s="89">
        <v>0.70833333333333337</v>
      </c>
      <c r="E988" s="87" t="s">
        <v>93</v>
      </c>
      <c r="F988" s="87" t="s">
        <v>102</v>
      </c>
      <c r="G988" s="87" t="s">
        <v>95</v>
      </c>
      <c r="H988" s="90" t="s">
        <v>4496</v>
      </c>
      <c r="I988" s="90" t="s">
        <v>118</v>
      </c>
      <c r="J988" s="87" t="s">
        <v>173</v>
      </c>
      <c r="K988" s="87"/>
      <c r="L988" s="90" t="s">
        <v>4497</v>
      </c>
      <c r="M988" s="91" t="s">
        <v>4498</v>
      </c>
      <c r="N988" s="90" t="s">
        <v>4499</v>
      </c>
      <c r="O988" s="90" t="str">
        <f t="shared" si="133"/>
        <v>Distrital</v>
      </c>
      <c r="P988" s="87" t="s">
        <v>73</v>
      </c>
      <c r="Q988" s="87"/>
      <c r="R988" s="87"/>
      <c r="S988" s="87"/>
      <c r="T988" s="87"/>
      <c r="U988" s="87"/>
      <c r="V988" s="90" t="str">
        <f t="shared" si="137"/>
        <v>Distrital</v>
      </c>
      <c r="W988" s="87" t="s">
        <v>73</v>
      </c>
      <c r="X988" s="87"/>
      <c r="Y988" s="87"/>
      <c r="Z988" s="87"/>
      <c r="AA988" s="87"/>
      <c r="AB988" s="87"/>
      <c r="AC988" s="90" t="str">
        <f>_xlfn.TEXTJOIN(", ",TRUE,$AD988:$AM988)</f>
        <v>Distrital</v>
      </c>
      <c r="AD988" s="87" t="s">
        <v>73</v>
      </c>
      <c r="AE988" s="87"/>
      <c r="AF988" s="87"/>
      <c r="AG988" s="87"/>
      <c r="AH988" s="87"/>
      <c r="AI988" s="87"/>
      <c r="AJ988" s="87"/>
      <c r="AK988" s="87"/>
      <c r="AL988" s="87"/>
      <c r="AM988" s="87"/>
      <c r="AN988" s="90" t="s">
        <v>80</v>
      </c>
      <c r="AO988" s="102" t="s">
        <v>2667</v>
      </c>
      <c r="AP988" s="82"/>
      <c r="AQ988" s="87" t="s">
        <v>59</v>
      </c>
      <c r="AR988" s="87" t="s">
        <v>80</v>
      </c>
      <c r="AS988" s="82"/>
      <c r="AT988" s="87">
        <v>3</v>
      </c>
      <c r="AU988" s="87">
        <v>1</v>
      </c>
      <c r="AV988" s="87">
        <f t="shared" ref="AV988:AV998" si="210">AT988+AU988</f>
        <v>4</v>
      </c>
      <c r="AW988" s="87" t="str">
        <f t="shared" si="54"/>
        <v/>
      </c>
      <c r="AX988" s="87"/>
      <c r="AY988" s="87"/>
      <c r="AZ988" s="87"/>
      <c r="BA988" s="91" t="s">
        <v>4500</v>
      </c>
      <c r="BB988" s="84"/>
      <c r="BC988" s="85"/>
      <c r="BD988" s="85"/>
    </row>
    <row r="989" spans="1:56" s="86" customFormat="1" ht="46.5" customHeight="1">
      <c r="A989" s="87">
        <v>984</v>
      </c>
      <c r="B989" s="79" t="s">
        <v>4501</v>
      </c>
      <c r="C989" s="88">
        <v>45559</v>
      </c>
      <c r="D989" s="89">
        <v>0.33333333333333331</v>
      </c>
      <c r="E989" s="87" t="s">
        <v>353</v>
      </c>
      <c r="F989" s="87" t="s">
        <v>135</v>
      </c>
      <c r="G989" s="87" t="s">
        <v>62</v>
      </c>
      <c r="H989" s="90" t="s">
        <v>4449</v>
      </c>
      <c r="I989" s="90" t="s">
        <v>64</v>
      </c>
      <c r="J989" s="87" t="s">
        <v>70</v>
      </c>
      <c r="K989" s="87" t="s">
        <v>71</v>
      </c>
      <c r="L989" s="90" t="s">
        <v>72</v>
      </c>
      <c r="M989" s="91" t="s">
        <v>72</v>
      </c>
      <c r="N989" s="90" t="s">
        <v>72</v>
      </c>
      <c r="O989" s="90" t="str">
        <f>_xlfn.TEXTJOIN(", ",TRUE,$P989:$T989)</f>
        <v>Distrital</v>
      </c>
      <c r="P989" s="87" t="s">
        <v>73</v>
      </c>
      <c r="Q989" s="87"/>
      <c r="R989" s="87"/>
      <c r="S989" s="87"/>
      <c r="T989" s="87"/>
      <c r="U989" s="87"/>
      <c r="V989" s="90" t="str">
        <f>_xlfn.TEXTJOIN(", ",TRUE,$W989:$AB989)</f>
        <v>Distrital</v>
      </c>
      <c r="W989" s="87" t="s">
        <v>73</v>
      </c>
      <c r="X989" s="87"/>
      <c r="Y989" s="87"/>
      <c r="Z989" s="87"/>
      <c r="AA989" s="87"/>
      <c r="AB989" s="87"/>
      <c r="AC989" s="90" t="str">
        <f>_xlfn.TEXTJOIN(", ",TRUE,$AD989:$AM989)</f>
        <v>Distrital</v>
      </c>
      <c r="AD989" s="87" t="s">
        <v>73</v>
      </c>
      <c r="AE989" s="87"/>
      <c r="AF989" s="87"/>
      <c r="AG989" s="87"/>
      <c r="AH989" s="87"/>
      <c r="AI989" s="87"/>
      <c r="AJ989" s="87"/>
      <c r="AK989" s="87"/>
      <c r="AL989" s="87"/>
      <c r="AM989" s="87"/>
      <c r="AN989" s="90" t="s">
        <v>80</v>
      </c>
      <c r="AO989" s="90" t="s">
        <v>4436</v>
      </c>
      <c r="AP989" s="82"/>
      <c r="AQ989" s="87" t="s">
        <v>59</v>
      </c>
      <c r="AR989" s="87" t="s">
        <v>80</v>
      </c>
      <c r="AS989" s="82"/>
      <c r="AT989" s="87">
        <v>0</v>
      </c>
      <c r="AU989" s="87">
        <v>10</v>
      </c>
      <c r="AV989" s="87">
        <f t="shared" si="210"/>
        <v>10</v>
      </c>
      <c r="AW989" s="87" t="s">
        <v>184</v>
      </c>
      <c r="AX989" s="87"/>
      <c r="AY989" s="87"/>
      <c r="AZ989" s="87"/>
      <c r="BA989" s="91" t="s">
        <v>4502</v>
      </c>
      <c r="BB989" s="84"/>
      <c r="BC989" s="85"/>
      <c r="BD989" s="85"/>
    </row>
    <row r="990" spans="1:56" s="86" customFormat="1" ht="46.5" customHeight="1">
      <c r="A990" s="78">
        <v>985</v>
      </c>
      <c r="B990" s="79" t="s">
        <v>4503</v>
      </c>
      <c r="C990" s="88">
        <v>45559</v>
      </c>
      <c r="D990" s="89">
        <v>0.33333333333333331</v>
      </c>
      <c r="E990" s="87" t="s">
        <v>353</v>
      </c>
      <c r="F990" s="87" t="s">
        <v>135</v>
      </c>
      <c r="G990" s="87" t="s">
        <v>62</v>
      </c>
      <c r="H990" s="90" t="s">
        <v>4449</v>
      </c>
      <c r="I990" s="90" t="s">
        <v>64</v>
      </c>
      <c r="J990" s="87" t="s">
        <v>70</v>
      </c>
      <c r="K990" s="87" t="s">
        <v>71</v>
      </c>
      <c r="L990" s="124" t="s">
        <v>72</v>
      </c>
      <c r="M990" s="115" t="s">
        <v>72</v>
      </c>
      <c r="N990" s="124" t="s">
        <v>72</v>
      </c>
      <c r="O990" s="90" t="s">
        <v>73</v>
      </c>
      <c r="P990" s="87" t="s">
        <v>73</v>
      </c>
      <c r="Q990" s="87"/>
      <c r="R990" s="87"/>
      <c r="S990" s="87"/>
      <c r="T990" s="87"/>
      <c r="U990" s="87"/>
      <c r="V990" s="90" t="s">
        <v>73</v>
      </c>
      <c r="W990" s="87" t="s">
        <v>73</v>
      </c>
      <c r="X990" s="87"/>
      <c r="Y990" s="87"/>
      <c r="Z990" s="87"/>
      <c r="AA990" s="87"/>
      <c r="AB990" s="87"/>
      <c r="AC990" s="90" t="s">
        <v>73</v>
      </c>
      <c r="AD990" s="87" t="s">
        <v>73</v>
      </c>
      <c r="AE990" s="87"/>
      <c r="AF990" s="87"/>
      <c r="AG990" s="87"/>
      <c r="AH990" s="87"/>
      <c r="AI990" s="87"/>
      <c r="AJ990" s="87"/>
      <c r="AK990" s="87"/>
      <c r="AL990" s="87"/>
      <c r="AM990" s="87"/>
      <c r="AN990" s="90" t="s">
        <v>80</v>
      </c>
      <c r="AO990" s="124" t="s">
        <v>4436</v>
      </c>
      <c r="AP990" s="82"/>
      <c r="AQ990" s="87" t="s">
        <v>59</v>
      </c>
      <c r="AR990" s="87" t="s">
        <v>80</v>
      </c>
      <c r="AS990" s="82"/>
      <c r="AT990" s="87">
        <v>0</v>
      </c>
      <c r="AU990" s="87">
        <v>5</v>
      </c>
      <c r="AV990" s="87">
        <f t="shared" si="210"/>
        <v>5</v>
      </c>
      <c r="AW990" s="87" t="str">
        <f t="shared" si="54"/>
        <v>Ninguna</v>
      </c>
      <c r="AX990" s="87" t="s">
        <v>75</v>
      </c>
      <c r="AY990" s="87"/>
      <c r="AZ990" s="114"/>
      <c r="BA990" s="115" t="s">
        <v>4504</v>
      </c>
      <c r="BB990" s="84"/>
      <c r="BC990" s="85"/>
      <c r="BD990" s="85"/>
    </row>
    <row r="991" spans="1:56" s="86" customFormat="1" ht="46.5" customHeight="1">
      <c r="A991" s="87">
        <v>986</v>
      </c>
      <c r="B991" s="79" t="s">
        <v>4505</v>
      </c>
      <c r="C991" s="88">
        <v>45559</v>
      </c>
      <c r="D991" s="89">
        <v>0.33333333333333331</v>
      </c>
      <c r="E991" s="87" t="s">
        <v>353</v>
      </c>
      <c r="F991" s="87" t="s">
        <v>135</v>
      </c>
      <c r="G991" s="87" t="s">
        <v>62</v>
      </c>
      <c r="H991" s="90" t="s">
        <v>4449</v>
      </c>
      <c r="I991" s="90" t="s">
        <v>64</v>
      </c>
      <c r="J991" s="87" t="s">
        <v>70</v>
      </c>
      <c r="K991" s="87" t="s">
        <v>71</v>
      </c>
      <c r="L991" s="124" t="s">
        <v>72</v>
      </c>
      <c r="M991" s="115" t="s">
        <v>72</v>
      </c>
      <c r="N991" s="124" t="s">
        <v>72</v>
      </c>
      <c r="O991" s="90" t="s">
        <v>73</v>
      </c>
      <c r="P991" s="87" t="s">
        <v>73</v>
      </c>
      <c r="Q991" s="87"/>
      <c r="R991" s="87"/>
      <c r="S991" s="87"/>
      <c r="T991" s="87"/>
      <c r="U991" s="87"/>
      <c r="V991" s="90" t="s">
        <v>73</v>
      </c>
      <c r="W991" s="87" t="s">
        <v>73</v>
      </c>
      <c r="X991" s="87"/>
      <c r="Y991" s="87"/>
      <c r="Z991" s="87"/>
      <c r="AA991" s="87"/>
      <c r="AB991" s="87"/>
      <c r="AC991" s="90" t="s">
        <v>73</v>
      </c>
      <c r="AD991" s="87" t="s">
        <v>73</v>
      </c>
      <c r="AE991" s="87"/>
      <c r="AF991" s="87"/>
      <c r="AG991" s="87"/>
      <c r="AH991" s="87"/>
      <c r="AI991" s="87"/>
      <c r="AJ991" s="87"/>
      <c r="AK991" s="87"/>
      <c r="AL991" s="87"/>
      <c r="AM991" s="87"/>
      <c r="AN991" s="90" t="s">
        <v>80</v>
      </c>
      <c r="AO991" s="124" t="s">
        <v>4436</v>
      </c>
      <c r="AP991" s="82"/>
      <c r="AQ991" s="87" t="s">
        <v>59</v>
      </c>
      <c r="AR991" s="87" t="s">
        <v>80</v>
      </c>
      <c r="AS991" s="82"/>
      <c r="AT991" s="87">
        <v>0</v>
      </c>
      <c r="AU991" s="87">
        <v>10</v>
      </c>
      <c r="AV991" s="87">
        <f t="shared" si="210"/>
        <v>10</v>
      </c>
      <c r="AW991" s="87" t="s">
        <v>184</v>
      </c>
      <c r="AX991" s="87"/>
      <c r="AY991" s="87"/>
      <c r="AZ991" s="114"/>
      <c r="BA991" s="115" t="s">
        <v>4506</v>
      </c>
      <c r="BB991" s="84"/>
      <c r="BC991" s="85"/>
      <c r="BD991" s="85"/>
    </row>
    <row r="992" spans="1:56" s="86" customFormat="1" ht="46.5" customHeight="1">
      <c r="A992" s="78">
        <v>987</v>
      </c>
      <c r="B992" s="79" t="s">
        <v>4507</v>
      </c>
      <c r="C992" s="88">
        <v>45559</v>
      </c>
      <c r="D992" s="89">
        <v>0.33333333333333331</v>
      </c>
      <c r="E992" s="87" t="s">
        <v>353</v>
      </c>
      <c r="F992" s="87" t="s">
        <v>135</v>
      </c>
      <c r="G992" s="87" t="s">
        <v>62</v>
      </c>
      <c r="H992" s="90" t="s">
        <v>4449</v>
      </c>
      <c r="I992" s="90" t="s">
        <v>64</v>
      </c>
      <c r="J992" s="87" t="s">
        <v>70</v>
      </c>
      <c r="K992" s="87" t="s">
        <v>71</v>
      </c>
      <c r="L992" s="124" t="s">
        <v>72</v>
      </c>
      <c r="M992" s="115" t="s">
        <v>72</v>
      </c>
      <c r="N992" s="124" t="s">
        <v>72</v>
      </c>
      <c r="O992" s="90" t="s">
        <v>73</v>
      </c>
      <c r="P992" s="87" t="s">
        <v>73</v>
      </c>
      <c r="Q992" s="87"/>
      <c r="R992" s="87"/>
      <c r="S992" s="87"/>
      <c r="T992" s="87"/>
      <c r="U992" s="87"/>
      <c r="V992" s="90" t="s">
        <v>73</v>
      </c>
      <c r="W992" s="87" t="s">
        <v>73</v>
      </c>
      <c r="X992" s="87"/>
      <c r="Y992" s="87"/>
      <c r="Z992" s="87"/>
      <c r="AA992" s="87"/>
      <c r="AB992" s="87"/>
      <c r="AC992" s="90" t="s">
        <v>73</v>
      </c>
      <c r="AD992" s="87" t="s">
        <v>73</v>
      </c>
      <c r="AE992" s="87"/>
      <c r="AF992" s="87"/>
      <c r="AG992" s="87"/>
      <c r="AH992" s="87"/>
      <c r="AI992" s="87"/>
      <c r="AJ992" s="87"/>
      <c r="AK992" s="87"/>
      <c r="AL992" s="87"/>
      <c r="AM992" s="87"/>
      <c r="AN992" s="90" t="s">
        <v>80</v>
      </c>
      <c r="AO992" s="124" t="s">
        <v>4436</v>
      </c>
      <c r="AP992" s="82"/>
      <c r="AQ992" s="87" t="s">
        <v>59</v>
      </c>
      <c r="AR992" s="87" t="s">
        <v>80</v>
      </c>
      <c r="AS992" s="82"/>
      <c r="AT992" s="87">
        <v>0</v>
      </c>
      <c r="AU992" s="87">
        <v>10</v>
      </c>
      <c r="AV992" s="87">
        <f t="shared" si="210"/>
        <v>10</v>
      </c>
      <c r="AW992" s="87" t="s">
        <v>184</v>
      </c>
      <c r="AX992" s="87"/>
      <c r="AY992" s="87"/>
      <c r="AZ992" s="114"/>
      <c r="BA992" s="115" t="s">
        <v>4508</v>
      </c>
      <c r="BB992" s="84"/>
      <c r="BC992" s="85"/>
      <c r="BD992" s="85"/>
    </row>
    <row r="993" spans="1:56" s="86" customFormat="1" ht="46.5" customHeight="1">
      <c r="A993" s="87">
        <v>988</v>
      </c>
      <c r="B993" s="79" t="s">
        <v>4509</v>
      </c>
      <c r="C993" s="88">
        <v>45559</v>
      </c>
      <c r="D993" s="89">
        <v>0.375</v>
      </c>
      <c r="E993" s="87" t="s">
        <v>58</v>
      </c>
      <c r="F993" s="87" t="s">
        <v>1142</v>
      </c>
      <c r="G993" s="87" t="s">
        <v>95</v>
      </c>
      <c r="H993" s="90" t="s">
        <v>4510</v>
      </c>
      <c r="I993" s="90" t="s">
        <v>118</v>
      </c>
      <c r="J993" s="87" t="s">
        <v>70</v>
      </c>
      <c r="K993" s="87"/>
      <c r="L993" s="124" t="s">
        <v>4511</v>
      </c>
      <c r="M993" s="115" t="s">
        <v>72</v>
      </c>
      <c r="N993" s="124" t="s">
        <v>72</v>
      </c>
      <c r="O993" s="90" t="str">
        <f>_xlfn.TEXTJOIN(", ",TRUE,$P993:$T993)</f>
        <v>Distrital</v>
      </c>
      <c r="P993" s="87" t="s">
        <v>73</v>
      </c>
      <c r="Q993" s="87"/>
      <c r="R993" s="87"/>
      <c r="S993" s="87"/>
      <c r="T993" s="87"/>
      <c r="U993" s="87"/>
      <c r="V993" s="90" t="str">
        <f>_xlfn.TEXTJOIN(", ",TRUE,$W993:$AB993)</f>
        <v>Distrital</v>
      </c>
      <c r="W993" s="87" t="s">
        <v>73</v>
      </c>
      <c r="X993" s="87"/>
      <c r="Y993" s="87"/>
      <c r="Z993" s="87"/>
      <c r="AA993" s="87"/>
      <c r="AB993" s="87"/>
      <c r="AC993" s="90" t="str">
        <f>_xlfn.TEXTJOIN(", ",TRUE,$AD993:$AM993)</f>
        <v>Distrital</v>
      </c>
      <c r="AD993" s="87" t="s">
        <v>73</v>
      </c>
      <c r="AE993" s="87"/>
      <c r="AF993" s="87"/>
      <c r="AG993" s="87"/>
      <c r="AH993" s="87"/>
      <c r="AI993" s="87"/>
      <c r="AJ993" s="87"/>
      <c r="AK993" s="87"/>
      <c r="AL993" s="87"/>
      <c r="AM993" s="87"/>
      <c r="AN993" s="90" t="s">
        <v>80</v>
      </c>
      <c r="AO993" s="124" t="s">
        <v>4512</v>
      </c>
      <c r="AP993" s="82"/>
      <c r="AQ993" s="87" t="s">
        <v>59</v>
      </c>
      <c r="AR993" s="87" t="s">
        <v>80</v>
      </c>
      <c r="AS993" s="82"/>
      <c r="AT993" s="87">
        <v>4</v>
      </c>
      <c r="AU993" s="87">
        <v>1</v>
      </c>
      <c r="AV993" s="87">
        <f t="shared" si="210"/>
        <v>5</v>
      </c>
      <c r="AW993" s="87" t="s">
        <v>184</v>
      </c>
      <c r="AX993" s="87"/>
      <c r="AY993" s="87"/>
      <c r="AZ993" s="114"/>
      <c r="BA993" s="115" t="s">
        <v>4513</v>
      </c>
      <c r="BB993" s="84"/>
      <c r="BC993" s="85"/>
      <c r="BD993" s="85"/>
    </row>
    <row r="994" spans="1:56" s="86" customFormat="1" ht="57" customHeight="1">
      <c r="A994" s="78">
        <v>989</v>
      </c>
      <c r="B994" s="79" t="s">
        <v>4514</v>
      </c>
      <c r="C994" s="88">
        <v>45559</v>
      </c>
      <c r="D994" s="89">
        <v>0.41666666666666669</v>
      </c>
      <c r="E994" s="87" t="s">
        <v>58</v>
      </c>
      <c r="F994" s="87" t="s">
        <v>61</v>
      </c>
      <c r="G994" s="87" t="s">
        <v>95</v>
      </c>
      <c r="H994" s="90" t="s">
        <v>4515</v>
      </c>
      <c r="I994" s="90" t="s">
        <v>128</v>
      </c>
      <c r="J994" s="87" t="s">
        <v>376</v>
      </c>
      <c r="K994" s="87" t="s">
        <v>533</v>
      </c>
      <c r="L994" s="130" t="s">
        <v>4516</v>
      </c>
      <c r="M994" s="130" t="s">
        <v>4517</v>
      </c>
      <c r="N994" s="130" t="s">
        <v>72</v>
      </c>
      <c r="O994" s="90" t="str">
        <f>_xlfn.TEXTJOIN(", ",TRUE,$P994:$T994)</f>
        <v>Distrital</v>
      </c>
      <c r="P994" s="87" t="s">
        <v>73</v>
      </c>
      <c r="Q994" s="87"/>
      <c r="R994" s="87"/>
      <c r="S994" s="87"/>
      <c r="T994" s="87"/>
      <c r="U994" s="87"/>
      <c r="V994" s="90" t="str">
        <f>_xlfn.TEXTJOIN(", ",TRUE,$W994:$AB994)</f>
        <v>Distrital</v>
      </c>
      <c r="W994" s="87" t="s">
        <v>73</v>
      </c>
      <c r="X994" s="87"/>
      <c r="Y994" s="87"/>
      <c r="Z994" s="87"/>
      <c r="AA994" s="87"/>
      <c r="AB994" s="87"/>
      <c r="AC994" s="90" t="str">
        <f>_xlfn.TEXTJOIN(", ",TRUE,$AD994:$AM994)</f>
        <v>Distrital</v>
      </c>
      <c r="AD994" s="87" t="s">
        <v>73</v>
      </c>
      <c r="AE994" s="87"/>
      <c r="AF994" s="87"/>
      <c r="AG994" s="87"/>
      <c r="AH994" s="87"/>
      <c r="AI994" s="87"/>
      <c r="AJ994" s="87"/>
      <c r="AK994" s="87"/>
      <c r="AL994" s="87"/>
      <c r="AM994" s="87"/>
      <c r="AN994" s="90" t="s">
        <v>80</v>
      </c>
      <c r="AO994" s="64" t="s">
        <v>4518</v>
      </c>
      <c r="AP994" s="82"/>
      <c r="AQ994" s="87" t="s">
        <v>60</v>
      </c>
      <c r="AR994" s="87" t="s">
        <v>2854</v>
      </c>
      <c r="AS994" s="82"/>
      <c r="AT994" s="87">
        <v>7</v>
      </c>
      <c r="AU994" s="87">
        <v>5</v>
      </c>
      <c r="AV994" s="87">
        <f t="shared" si="210"/>
        <v>12</v>
      </c>
      <c r="AW994" s="87" t="str">
        <f>_xlfn.TEXTJOIN(", ",TRUE,$AX994:$AZ994)</f>
        <v>Contenidos adaptados</v>
      </c>
      <c r="AX994" s="87" t="s">
        <v>212</v>
      </c>
      <c r="AY994" s="87"/>
      <c r="AZ994" s="114"/>
      <c r="BA994" s="119" t="s">
        <v>4519</v>
      </c>
      <c r="BB994" s="84"/>
      <c r="BC994" s="85"/>
      <c r="BD994" s="85"/>
    </row>
    <row r="995" spans="1:56" s="86" customFormat="1" ht="57" customHeight="1">
      <c r="A995" s="87">
        <v>990</v>
      </c>
      <c r="B995" s="79" t="s">
        <v>2337</v>
      </c>
      <c r="C995" s="88">
        <v>45559</v>
      </c>
      <c r="D995" s="89">
        <v>0.41666666666666669</v>
      </c>
      <c r="E995" s="87" t="s">
        <v>93</v>
      </c>
      <c r="F995" s="87" t="s">
        <v>321</v>
      </c>
      <c r="G995" s="87" t="s">
        <v>62</v>
      </c>
      <c r="H995" s="90" t="s">
        <v>4520</v>
      </c>
      <c r="I995" s="90" t="s">
        <v>118</v>
      </c>
      <c r="J995" s="87" t="s">
        <v>70</v>
      </c>
      <c r="K995" s="87" t="s">
        <v>1810</v>
      </c>
      <c r="L995" s="139" t="s">
        <v>484</v>
      </c>
      <c r="M995" s="139" t="s">
        <v>4521</v>
      </c>
      <c r="N995" s="139" t="s">
        <v>72</v>
      </c>
      <c r="O995" s="90" t="str">
        <f>_xlfn.TEXTJOIN(", ",TRUE,$P995:$T995)</f>
        <v>Los Mártires</v>
      </c>
      <c r="P995" s="87" t="s">
        <v>542</v>
      </c>
      <c r="Q995" s="87"/>
      <c r="R995" s="87"/>
      <c r="S995" s="87"/>
      <c r="T995" s="87"/>
      <c r="U995" s="87"/>
      <c r="V995" s="90" t="str">
        <f>_xlfn.TEXTJOIN(", ",TRUE,$W995:$AB995)</f>
        <v>Centro Ampliado</v>
      </c>
      <c r="W995" s="87" t="s">
        <v>415</v>
      </c>
      <c r="X995" s="87"/>
      <c r="Y995" s="87"/>
      <c r="Z995" s="87"/>
      <c r="AA995" s="87"/>
      <c r="AB995" s="87"/>
      <c r="AC995" s="90" t="str">
        <f>_xlfn.TEXTJOIN(", ",TRUE,$AD995:$AM995)</f>
        <v>Centro Histórico</v>
      </c>
      <c r="AD995" s="87" t="s">
        <v>488</v>
      </c>
      <c r="AE995" s="87"/>
      <c r="AF995" s="87"/>
      <c r="AG995" s="87"/>
      <c r="AH995" s="87"/>
      <c r="AI995" s="87"/>
      <c r="AJ995" s="87"/>
      <c r="AK995" s="87"/>
      <c r="AL995" s="87"/>
      <c r="AM995" s="87"/>
      <c r="AN995" s="90" t="s">
        <v>2339</v>
      </c>
      <c r="AO995" s="64" t="s">
        <v>4522</v>
      </c>
      <c r="AP995" s="82"/>
      <c r="AQ995" s="87" t="s">
        <v>59</v>
      </c>
      <c r="AR995" s="87" t="s">
        <v>80</v>
      </c>
      <c r="AS995" s="82"/>
      <c r="AT995" s="87">
        <v>12</v>
      </c>
      <c r="AU995" s="87">
        <v>1</v>
      </c>
      <c r="AV995" s="87">
        <f t="shared" si="210"/>
        <v>13</v>
      </c>
      <c r="AW995" s="87" t="s">
        <v>184</v>
      </c>
      <c r="AX995" s="87"/>
      <c r="AY995" s="87"/>
      <c r="AZ995" s="114"/>
      <c r="BA995" s="119" t="s">
        <v>4523</v>
      </c>
      <c r="BB995" s="84"/>
      <c r="BC995" s="85"/>
      <c r="BD995" s="85"/>
    </row>
    <row r="996" spans="1:56" s="86" customFormat="1" ht="55.5" customHeight="1">
      <c r="A996" s="78">
        <v>991</v>
      </c>
      <c r="B996" s="79" t="s">
        <v>668</v>
      </c>
      <c r="C996" s="88">
        <v>45559</v>
      </c>
      <c r="D996" s="89">
        <v>0.45833333333333331</v>
      </c>
      <c r="E996" s="87" t="s">
        <v>58</v>
      </c>
      <c r="F996" s="87" t="s">
        <v>321</v>
      </c>
      <c r="G996" s="87" t="s">
        <v>62</v>
      </c>
      <c r="H996" s="90" t="s">
        <v>4524</v>
      </c>
      <c r="I996" s="90" t="s">
        <v>118</v>
      </c>
      <c r="J996" s="87" t="s">
        <v>70</v>
      </c>
      <c r="K996" s="87" t="s">
        <v>1810</v>
      </c>
      <c r="L996" s="90" t="s">
        <v>3925</v>
      </c>
      <c r="M996" s="91" t="s">
        <v>3926</v>
      </c>
      <c r="N996" s="90" t="s">
        <v>2744</v>
      </c>
      <c r="O996" s="90" t="str">
        <f>_xlfn.TEXTJOIN(", ",TRUE,$P996:$T996)</f>
        <v>Usme</v>
      </c>
      <c r="P996" s="87" t="s">
        <v>670</v>
      </c>
      <c r="Q996" s="87"/>
      <c r="R996" s="87"/>
      <c r="S996" s="87"/>
      <c r="T996" s="87"/>
      <c r="U996" s="87"/>
      <c r="V996" s="90" t="str">
        <f>_xlfn.TEXTJOIN(", ",TRUE,$W996:$AB996)</f>
        <v>Suroriente</v>
      </c>
      <c r="W996" s="87" t="s">
        <v>108</v>
      </c>
      <c r="X996" s="87"/>
      <c r="Y996" s="87"/>
      <c r="Z996" s="87"/>
      <c r="AA996" s="87"/>
      <c r="AB996" s="87"/>
      <c r="AC996" s="90" t="str">
        <f>_xlfn.TEXTJOIN(", ",TRUE,$AD996:$AM996)</f>
        <v>Usme Entrenubes</v>
      </c>
      <c r="AD996" s="87" t="s">
        <v>671</v>
      </c>
      <c r="AE996" s="87"/>
      <c r="AF996" s="87"/>
      <c r="AG996" s="87"/>
      <c r="AH996" s="87"/>
      <c r="AI996" s="87"/>
      <c r="AJ996" s="87"/>
      <c r="AK996" s="87"/>
      <c r="AL996" s="87"/>
      <c r="AM996" s="87"/>
      <c r="AN996" s="90" t="s">
        <v>670</v>
      </c>
      <c r="AO996" s="90" t="s">
        <v>4525</v>
      </c>
      <c r="AP996" s="82"/>
      <c r="AQ996" s="87" t="s">
        <v>59</v>
      </c>
      <c r="AR996" s="87" t="s">
        <v>80</v>
      </c>
      <c r="AS996" s="82"/>
      <c r="AT996" s="87">
        <v>13</v>
      </c>
      <c r="AU996" s="87">
        <v>1</v>
      </c>
      <c r="AV996" s="87">
        <f t="shared" si="210"/>
        <v>14</v>
      </c>
      <c r="AW996" s="87" t="str">
        <f>_xlfn.TEXTJOIN(", ",TRUE,$AX996:$AZ996)</f>
        <v/>
      </c>
      <c r="AX996" s="87"/>
      <c r="AY996" s="87"/>
      <c r="AZ996" s="87"/>
      <c r="BA996" s="91" t="s">
        <v>4526</v>
      </c>
      <c r="BB996" s="84"/>
      <c r="BC996" s="85"/>
      <c r="BD996" s="85"/>
    </row>
    <row r="997" spans="1:56" s="86" customFormat="1" ht="57" customHeight="1">
      <c r="A997" s="87">
        <v>992</v>
      </c>
      <c r="B997" s="79" t="s">
        <v>4527</v>
      </c>
      <c r="C997" s="88">
        <v>45559</v>
      </c>
      <c r="D997" s="89">
        <v>0.45833333333333331</v>
      </c>
      <c r="E997" s="87" t="s">
        <v>58</v>
      </c>
      <c r="F997" s="87" t="s">
        <v>61</v>
      </c>
      <c r="G997" s="87" t="s">
        <v>95</v>
      </c>
      <c r="H997" s="90" t="s">
        <v>4528</v>
      </c>
      <c r="I997" s="90" t="s">
        <v>128</v>
      </c>
      <c r="J997" s="87" t="s">
        <v>70</v>
      </c>
      <c r="K997" s="87"/>
      <c r="L997" s="90" t="s">
        <v>4529</v>
      </c>
      <c r="M997" s="91" t="s">
        <v>4530</v>
      </c>
      <c r="N997" s="90" t="s">
        <v>4531</v>
      </c>
      <c r="O997" s="90" t="str">
        <f>_xlfn.TEXTJOIN(", ",TRUE,$P997:$T997)</f>
        <v>Distrital</v>
      </c>
      <c r="P997" s="87" t="s">
        <v>73</v>
      </c>
      <c r="Q997" s="87"/>
      <c r="R997" s="87"/>
      <c r="S997" s="87"/>
      <c r="T997" s="87"/>
      <c r="U997" s="87"/>
      <c r="V997" s="90" t="str">
        <f>_xlfn.TEXTJOIN(", ",TRUE,$W997:$AB997)</f>
        <v>Distrital</v>
      </c>
      <c r="W997" s="87" t="s">
        <v>73</v>
      </c>
      <c r="X997" s="87"/>
      <c r="Y997" s="87"/>
      <c r="Z997" s="87"/>
      <c r="AA997" s="87"/>
      <c r="AB997" s="87"/>
      <c r="AC997" s="90" t="str">
        <f>_xlfn.TEXTJOIN(", ",TRUE,$AD997:$AM997)</f>
        <v>Distrital</v>
      </c>
      <c r="AD997" s="87" t="s">
        <v>73</v>
      </c>
      <c r="AE997" s="87"/>
      <c r="AF997" s="87"/>
      <c r="AG997" s="87"/>
      <c r="AH997" s="87"/>
      <c r="AI997" s="87"/>
      <c r="AJ997" s="87"/>
      <c r="AK997" s="87"/>
      <c r="AL997" s="87"/>
      <c r="AM997" s="87"/>
      <c r="AN997" s="90" t="s">
        <v>80</v>
      </c>
      <c r="AO997" s="102" t="s">
        <v>2667</v>
      </c>
      <c r="AP997" s="82"/>
      <c r="AQ997" s="87" t="s">
        <v>59</v>
      </c>
      <c r="AR997" s="87" t="s">
        <v>80</v>
      </c>
      <c r="AS997" s="82"/>
      <c r="AT997" s="87">
        <v>2</v>
      </c>
      <c r="AU997" s="87">
        <v>2</v>
      </c>
      <c r="AV997" s="87">
        <f t="shared" si="210"/>
        <v>4</v>
      </c>
      <c r="AW997" s="87" t="s">
        <v>184</v>
      </c>
      <c r="AX997" s="87"/>
      <c r="AY997" s="87"/>
      <c r="AZ997" s="87"/>
      <c r="BA997" s="91" t="s">
        <v>4532</v>
      </c>
      <c r="BB997" s="84"/>
      <c r="BC997" s="85"/>
      <c r="BD997" s="85"/>
    </row>
    <row r="998" spans="1:56" s="86" customFormat="1" ht="46.5" customHeight="1">
      <c r="A998" s="78">
        <v>993</v>
      </c>
      <c r="B998" s="79" t="s">
        <v>4533</v>
      </c>
      <c r="C998" s="88">
        <v>45559</v>
      </c>
      <c r="D998" s="89">
        <v>0.54166666666666663</v>
      </c>
      <c r="E998" s="87" t="s">
        <v>353</v>
      </c>
      <c r="F998" s="87" t="s">
        <v>135</v>
      </c>
      <c r="G998" s="87" t="s">
        <v>62</v>
      </c>
      <c r="H998" s="90" t="s">
        <v>4449</v>
      </c>
      <c r="I998" s="90" t="s">
        <v>64</v>
      </c>
      <c r="J998" s="87" t="s">
        <v>70</v>
      </c>
      <c r="K998" s="87" t="s">
        <v>71</v>
      </c>
      <c r="L998" s="124" t="s">
        <v>72</v>
      </c>
      <c r="M998" s="115" t="s">
        <v>72</v>
      </c>
      <c r="N998" s="124" t="s">
        <v>72</v>
      </c>
      <c r="O998" s="90" t="s">
        <v>73</v>
      </c>
      <c r="P998" s="87" t="s">
        <v>73</v>
      </c>
      <c r="Q998" s="87"/>
      <c r="R998" s="87"/>
      <c r="S998" s="87"/>
      <c r="T998" s="87"/>
      <c r="U998" s="87"/>
      <c r="V998" s="90" t="s">
        <v>73</v>
      </c>
      <c r="W998" s="87" t="s">
        <v>73</v>
      </c>
      <c r="X998" s="87"/>
      <c r="Y998" s="87"/>
      <c r="Z998" s="87"/>
      <c r="AA998" s="87"/>
      <c r="AB998" s="87"/>
      <c r="AC998" s="90" t="s">
        <v>73</v>
      </c>
      <c r="AD998" s="87" t="s">
        <v>73</v>
      </c>
      <c r="AE998" s="87"/>
      <c r="AF998" s="87"/>
      <c r="AG998" s="87"/>
      <c r="AH998" s="87"/>
      <c r="AI998" s="87"/>
      <c r="AJ998" s="87"/>
      <c r="AK998" s="87"/>
      <c r="AL998" s="87"/>
      <c r="AM998" s="87"/>
      <c r="AN998" s="90" t="s">
        <v>80</v>
      </c>
      <c r="AO998" s="124" t="s">
        <v>4436</v>
      </c>
      <c r="AP998" s="82"/>
      <c r="AQ998" s="87" t="s">
        <v>59</v>
      </c>
      <c r="AR998" s="87" t="s">
        <v>80</v>
      </c>
      <c r="AS998" s="82"/>
      <c r="AT998" s="87">
        <v>0</v>
      </c>
      <c r="AU998" s="87">
        <v>4</v>
      </c>
      <c r="AV998" s="87">
        <f t="shared" si="210"/>
        <v>4</v>
      </c>
      <c r="AW998" s="87" t="s">
        <v>184</v>
      </c>
      <c r="AX998" s="87"/>
      <c r="AY998" s="87"/>
      <c r="AZ998" s="114"/>
      <c r="BA998" s="115" t="s">
        <v>4534</v>
      </c>
      <c r="BB998" s="84"/>
      <c r="BC998" s="85"/>
      <c r="BD998" s="85"/>
    </row>
    <row r="999" spans="1:56" s="86" customFormat="1" ht="46.5" customHeight="1">
      <c r="A999" s="87">
        <v>994</v>
      </c>
      <c r="B999" s="79" t="s">
        <v>4535</v>
      </c>
      <c r="C999" s="88">
        <v>45559</v>
      </c>
      <c r="D999" s="89">
        <v>0.54166666666666663</v>
      </c>
      <c r="E999" s="87" t="s">
        <v>353</v>
      </c>
      <c r="F999" s="87" t="s">
        <v>135</v>
      </c>
      <c r="G999" s="87" t="s">
        <v>62</v>
      </c>
      <c r="H999" s="90" t="s">
        <v>4449</v>
      </c>
      <c r="I999" s="90" t="s">
        <v>64</v>
      </c>
      <c r="J999" s="87" t="s">
        <v>70</v>
      </c>
      <c r="K999" s="87" t="s">
        <v>71</v>
      </c>
      <c r="L999" s="124" t="s">
        <v>72</v>
      </c>
      <c r="M999" s="115" t="s">
        <v>72</v>
      </c>
      <c r="N999" s="124" t="s">
        <v>72</v>
      </c>
      <c r="O999" s="90" t="s">
        <v>73</v>
      </c>
      <c r="P999" s="87" t="s">
        <v>73</v>
      </c>
      <c r="Q999" s="87"/>
      <c r="R999" s="87"/>
      <c r="S999" s="87"/>
      <c r="T999" s="87"/>
      <c r="U999" s="87"/>
      <c r="V999" s="90" t="s">
        <v>73</v>
      </c>
      <c r="W999" s="87" t="s">
        <v>73</v>
      </c>
      <c r="X999" s="87"/>
      <c r="Y999" s="87"/>
      <c r="Z999" s="87"/>
      <c r="AA999" s="87"/>
      <c r="AB999" s="87"/>
      <c r="AC999" s="90" t="s">
        <v>73</v>
      </c>
      <c r="AD999" s="87" t="s">
        <v>73</v>
      </c>
      <c r="AE999" s="87"/>
      <c r="AF999" s="87"/>
      <c r="AG999" s="87"/>
      <c r="AH999" s="87"/>
      <c r="AI999" s="87"/>
      <c r="AJ999" s="87"/>
      <c r="AK999" s="87"/>
      <c r="AL999" s="87"/>
      <c r="AM999" s="87"/>
      <c r="AN999" s="90" t="s">
        <v>80</v>
      </c>
      <c r="AO999" s="124" t="s">
        <v>4436</v>
      </c>
      <c r="AP999" s="82"/>
      <c r="AQ999" s="87" t="s">
        <v>59</v>
      </c>
      <c r="AR999" s="87" t="s">
        <v>80</v>
      </c>
      <c r="AS999" s="82"/>
      <c r="AT999" s="87">
        <v>0</v>
      </c>
      <c r="AU999" s="87">
        <v>6</v>
      </c>
      <c r="AV999" s="87">
        <v>6</v>
      </c>
      <c r="AW999" s="87" t="s">
        <v>184</v>
      </c>
      <c r="AX999" s="87"/>
      <c r="AY999" s="87"/>
      <c r="AZ999" s="114"/>
      <c r="BA999" s="115" t="s">
        <v>4502</v>
      </c>
      <c r="BB999" s="84"/>
      <c r="BC999" s="85"/>
      <c r="BD999" s="85"/>
    </row>
    <row r="1000" spans="1:56" s="86" customFormat="1" ht="46.5" customHeight="1">
      <c r="A1000" s="78">
        <v>995</v>
      </c>
      <c r="B1000" s="79" t="s">
        <v>4536</v>
      </c>
      <c r="C1000" s="88">
        <v>45559</v>
      </c>
      <c r="D1000" s="89">
        <v>0.54166666666666663</v>
      </c>
      <c r="E1000" s="87" t="s">
        <v>353</v>
      </c>
      <c r="F1000" s="87" t="s">
        <v>135</v>
      </c>
      <c r="G1000" s="87" t="s">
        <v>62</v>
      </c>
      <c r="H1000" s="90" t="s">
        <v>4449</v>
      </c>
      <c r="I1000" s="90" t="s">
        <v>64</v>
      </c>
      <c r="J1000" s="87" t="s">
        <v>70</v>
      </c>
      <c r="K1000" s="87" t="s">
        <v>71</v>
      </c>
      <c r="L1000" s="124" t="s">
        <v>72</v>
      </c>
      <c r="M1000" s="115" t="s">
        <v>72</v>
      </c>
      <c r="N1000" s="124" t="s">
        <v>72</v>
      </c>
      <c r="O1000" s="90" t="s">
        <v>73</v>
      </c>
      <c r="P1000" s="87" t="s">
        <v>73</v>
      </c>
      <c r="Q1000" s="87"/>
      <c r="R1000" s="87"/>
      <c r="S1000" s="87"/>
      <c r="T1000" s="87"/>
      <c r="U1000" s="87"/>
      <c r="V1000" s="90" t="s">
        <v>73</v>
      </c>
      <c r="W1000" s="87" t="s">
        <v>73</v>
      </c>
      <c r="X1000" s="87"/>
      <c r="Y1000" s="87"/>
      <c r="Z1000" s="87"/>
      <c r="AA1000" s="87"/>
      <c r="AB1000" s="87"/>
      <c r="AC1000" s="90" t="s">
        <v>73</v>
      </c>
      <c r="AD1000" s="87" t="s">
        <v>73</v>
      </c>
      <c r="AE1000" s="87"/>
      <c r="AF1000" s="87"/>
      <c r="AG1000" s="87"/>
      <c r="AH1000" s="87"/>
      <c r="AI1000" s="87"/>
      <c r="AJ1000" s="87"/>
      <c r="AK1000" s="87"/>
      <c r="AL1000" s="87"/>
      <c r="AM1000" s="87"/>
      <c r="AN1000" s="90" t="s">
        <v>80</v>
      </c>
      <c r="AO1000" s="124" t="s">
        <v>4436</v>
      </c>
      <c r="AP1000" s="82"/>
      <c r="AQ1000" s="87" t="s">
        <v>59</v>
      </c>
      <c r="AR1000" s="87" t="s">
        <v>80</v>
      </c>
      <c r="AS1000" s="82"/>
      <c r="AT1000" s="87">
        <v>0</v>
      </c>
      <c r="AU1000" s="87">
        <v>10</v>
      </c>
      <c r="AV1000" s="87">
        <f>AT1000+AU1000</f>
        <v>10</v>
      </c>
      <c r="AW1000" s="87" t="s">
        <v>184</v>
      </c>
      <c r="AX1000" s="87"/>
      <c r="AY1000" s="87"/>
      <c r="AZ1000" s="114"/>
      <c r="BA1000" s="115" t="s">
        <v>4537</v>
      </c>
      <c r="BB1000" s="84"/>
      <c r="BC1000" s="85"/>
      <c r="BD1000" s="85"/>
    </row>
    <row r="1001" spans="1:56" s="86" customFormat="1" ht="57" customHeight="1">
      <c r="A1001" s="87">
        <v>996</v>
      </c>
      <c r="B1001" s="79" t="s">
        <v>4538</v>
      </c>
      <c r="C1001" s="88">
        <v>45559</v>
      </c>
      <c r="D1001" s="89">
        <v>0.58333333333333337</v>
      </c>
      <c r="E1001" s="87" t="s">
        <v>58</v>
      </c>
      <c r="F1001" s="87" t="s">
        <v>1184</v>
      </c>
      <c r="G1001" s="87" t="s">
        <v>95</v>
      </c>
      <c r="H1001" s="90" t="s">
        <v>4539</v>
      </c>
      <c r="I1001" s="90" t="s">
        <v>118</v>
      </c>
      <c r="J1001" s="87" t="s">
        <v>70</v>
      </c>
      <c r="K1001" s="87"/>
      <c r="L1001" s="90" t="s">
        <v>4540</v>
      </c>
      <c r="M1001" s="91" t="s">
        <v>4541</v>
      </c>
      <c r="N1001" s="90" t="s">
        <v>1932</v>
      </c>
      <c r="O1001" s="90" t="str">
        <f t="shared" si="133"/>
        <v>Distrital</v>
      </c>
      <c r="P1001" s="87" t="s">
        <v>73</v>
      </c>
      <c r="Q1001" s="87"/>
      <c r="R1001" s="87"/>
      <c r="S1001" s="87"/>
      <c r="T1001" s="87"/>
      <c r="U1001" s="87"/>
      <c r="V1001" s="90" t="str">
        <f>_xlfn.TEXTJOIN(", ",TRUE,$W1001:$AB1001)</f>
        <v>Distrital</v>
      </c>
      <c r="W1001" s="87" t="s">
        <v>73</v>
      </c>
      <c r="X1001" s="87"/>
      <c r="Y1001" s="87"/>
      <c r="Z1001" s="87"/>
      <c r="AA1001" s="87"/>
      <c r="AB1001" s="87"/>
      <c r="AC1001" s="90" t="str">
        <f>_xlfn.TEXTJOIN(", ",TRUE,$AD1001:$AM1001)</f>
        <v>Distrital</v>
      </c>
      <c r="AD1001" s="87" t="s">
        <v>73</v>
      </c>
      <c r="AE1001" s="87"/>
      <c r="AF1001" s="87"/>
      <c r="AG1001" s="87"/>
      <c r="AH1001" s="87"/>
      <c r="AI1001" s="87"/>
      <c r="AJ1001" s="87"/>
      <c r="AK1001" s="87"/>
      <c r="AL1001" s="87"/>
      <c r="AM1001" s="87"/>
      <c r="AN1001" s="90" t="s">
        <v>80</v>
      </c>
      <c r="AO1001" s="102" t="s">
        <v>2667</v>
      </c>
      <c r="AP1001" s="82"/>
      <c r="AQ1001" s="87" t="s">
        <v>59</v>
      </c>
      <c r="AR1001" s="87" t="s">
        <v>80</v>
      </c>
      <c r="AS1001" s="82"/>
      <c r="AT1001" s="87">
        <v>90</v>
      </c>
      <c r="AU1001" s="87">
        <v>15</v>
      </c>
      <c r="AV1001" s="87">
        <f>AT1001+AU1001</f>
        <v>105</v>
      </c>
      <c r="AW1001" s="87" t="s">
        <v>184</v>
      </c>
      <c r="AX1001" s="87"/>
      <c r="AY1001" s="87"/>
      <c r="AZ1001" s="87"/>
      <c r="BA1001" s="91" t="s">
        <v>4542</v>
      </c>
      <c r="BB1001" s="84"/>
      <c r="BC1001" s="85"/>
      <c r="BD1001" s="85"/>
    </row>
    <row r="1002" spans="1:56" s="86" customFormat="1" ht="57" customHeight="1">
      <c r="A1002" s="78">
        <v>997</v>
      </c>
      <c r="B1002" s="79" t="s">
        <v>4543</v>
      </c>
      <c r="C1002" s="88">
        <v>45559</v>
      </c>
      <c r="D1002" s="89">
        <v>0.58333333333333337</v>
      </c>
      <c r="E1002" s="87" t="s">
        <v>58</v>
      </c>
      <c r="F1002" s="87" t="s">
        <v>2121</v>
      </c>
      <c r="G1002" s="87" t="s">
        <v>95</v>
      </c>
      <c r="H1002" s="90" t="s">
        <v>4544</v>
      </c>
      <c r="I1002" s="90" t="s">
        <v>64</v>
      </c>
      <c r="J1002" s="87" t="s">
        <v>70</v>
      </c>
      <c r="K1002" s="87" t="s">
        <v>71</v>
      </c>
      <c r="L1002" s="90" t="s">
        <v>4545</v>
      </c>
      <c r="M1002" s="91" t="s">
        <v>2240</v>
      </c>
      <c r="N1002" s="102" t="s">
        <v>4546</v>
      </c>
      <c r="O1002" s="94" t="str">
        <f>_xlfn.TEXTJOIN(", ",TRUE,$P1002:$T1002)</f>
        <v>Distrital</v>
      </c>
      <c r="P1002" s="87" t="s">
        <v>73</v>
      </c>
      <c r="Q1002" s="87"/>
      <c r="R1002" s="87"/>
      <c r="S1002" s="87"/>
      <c r="T1002" s="87"/>
      <c r="U1002" s="87"/>
      <c r="V1002" s="90" t="str">
        <f t="shared" si="137"/>
        <v>Distrital</v>
      </c>
      <c r="W1002" s="87" t="s">
        <v>73</v>
      </c>
      <c r="X1002" s="87"/>
      <c r="Y1002" s="87"/>
      <c r="Z1002" s="87"/>
      <c r="AA1002" s="87"/>
      <c r="AB1002" s="87"/>
      <c r="AC1002" s="90" t="str">
        <f t="shared" si="138"/>
        <v>Distrital</v>
      </c>
      <c r="AD1002" s="87" t="s">
        <v>73</v>
      </c>
      <c r="AE1002" s="87"/>
      <c r="AF1002" s="87"/>
      <c r="AG1002" s="87"/>
      <c r="AH1002" s="87"/>
      <c r="AI1002" s="87"/>
      <c r="AJ1002" s="87"/>
      <c r="AK1002" s="87"/>
      <c r="AL1002" s="87"/>
      <c r="AM1002" s="87"/>
      <c r="AN1002" s="90" t="s">
        <v>80</v>
      </c>
      <c r="AO1002" s="102" t="s">
        <v>2667</v>
      </c>
      <c r="AP1002" s="82"/>
      <c r="AQ1002" s="87" t="s">
        <v>59</v>
      </c>
      <c r="AR1002" s="87" t="s">
        <v>80</v>
      </c>
      <c r="AS1002" s="82"/>
      <c r="AT1002" s="87">
        <v>28</v>
      </c>
      <c r="AU1002" s="87">
        <v>2</v>
      </c>
      <c r="AV1002" s="87">
        <f t="shared" si="46"/>
        <v>30</v>
      </c>
      <c r="AW1002" s="87" t="s">
        <v>184</v>
      </c>
      <c r="AX1002" s="87"/>
      <c r="AY1002" s="87"/>
      <c r="AZ1002" s="87"/>
      <c r="BA1002" s="91" t="s">
        <v>4547</v>
      </c>
      <c r="BB1002" s="84"/>
      <c r="BC1002" s="85"/>
      <c r="BD1002" s="85"/>
    </row>
    <row r="1003" spans="1:56" s="86" customFormat="1" ht="57" customHeight="1">
      <c r="A1003" s="87">
        <v>998</v>
      </c>
      <c r="B1003" s="79" t="s">
        <v>4548</v>
      </c>
      <c r="C1003" s="88">
        <v>45559</v>
      </c>
      <c r="D1003" s="89">
        <v>0.70833333333333337</v>
      </c>
      <c r="E1003" s="87" t="s">
        <v>93</v>
      </c>
      <c r="F1003" s="87" t="s">
        <v>102</v>
      </c>
      <c r="G1003" s="87" t="s">
        <v>95</v>
      </c>
      <c r="H1003" s="90" t="s">
        <v>4549</v>
      </c>
      <c r="I1003" s="90" t="s">
        <v>118</v>
      </c>
      <c r="J1003" s="87" t="s">
        <v>119</v>
      </c>
      <c r="K1003" s="87" t="s">
        <v>129</v>
      </c>
      <c r="L1003" s="90" t="s">
        <v>4184</v>
      </c>
      <c r="M1003" s="91" t="s">
        <v>3950</v>
      </c>
      <c r="N1003" s="90" t="s">
        <v>736</v>
      </c>
      <c r="O1003" s="90" t="str">
        <f t="shared" si="133"/>
        <v>Distrital</v>
      </c>
      <c r="P1003" s="87" t="s">
        <v>73</v>
      </c>
      <c r="Q1003" s="87"/>
      <c r="R1003" s="87"/>
      <c r="S1003" s="87"/>
      <c r="T1003" s="87"/>
      <c r="U1003" s="87"/>
      <c r="V1003" s="90" t="str">
        <f>_xlfn.TEXTJOIN(", ",TRUE,$W1003:$AB1003)</f>
        <v>Distrital</v>
      </c>
      <c r="W1003" s="87" t="s">
        <v>73</v>
      </c>
      <c r="X1003" s="87"/>
      <c r="Y1003" s="87"/>
      <c r="Z1003" s="87"/>
      <c r="AA1003" s="87"/>
      <c r="AB1003" s="87"/>
      <c r="AC1003" s="90" t="str">
        <f>_xlfn.TEXTJOIN(", ",TRUE,$AD1003:$AM1003)</f>
        <v>Distrital</v>
      </c>
      <c r="AD1003" s="87" t="s">
        <v>73</v>
      </c>
      <c r="AE1003" s="87"/>
      <c r="AF1003" s="87"/>
      <c r="AG1003" s="87"/>
      <c r="AH1003" s="87"/>
      <c r="AI1003" s="87"/>
      <c r="AJ1003" s="87"/>
      <c r="AK1003" s="87"/>
      <c r="AL1003" s="87"/>
      <c r="AM1003" s="87"/>
      <c r="AN1003" s="90" t="s">
        <v>80</v>
      </c>
      <c r="AO1003" s="102" t="s">
        <v>2667</v>
      </c>
      <c r="AP1003" s="82"/>
      <c r="AQ1003" s="87" t="s">
        <v>59</v>
      </c>
      <c r="AR1003" s="87" t="s">
        <v>80</v>
      </c>
      <c r="AS1003" s="82"/>
      <c r="AT1003" s="87">
        <v>11</v>
      </c>
      <c r="AU1003" s="87">
        <v>1</v>
      </c>
      <c r="AV1003" s="87">
        <f t="shared" ref="AV1003:AV1008" si="211">AT1003+AU1003</f>
        <v>12</v>
      </c>
      <c r="AW1003" s="87" t="s">
        <v>184</v>
      </c>
      <c r="AX1003" s="87"/>
      <c r="AY1003" s="87"/>
      <c r="AZ1003" s="87"/>
      <c r="BA1003" s="91" t="s">
        <v>4550</v>
      </c>
      <c r="BB1003" s="84"/>
      <c r="BC1003" s="85"/>
      <c r="BD1003" s="85"/>
    </row>
    <row r="1004" spans="1:56" s="86" customFormat="1" ht="57" customHeight="1">
      <c r="A1004" s="78">
        <v>999</v>
      </c>
      <c r="B1004" s="79" t="s">
        <v>4551</v>
      </c>
      <c r="C1004" s="88">
        <v>45560</v>
      </c>
      <c r="D1004" s="89">
        <v>0.33333333333333331</v>
      </c>
      <c r="E1004" s="87" t="s">
        <v>58</v>
      </c>
      <c r="F1004" s="87" t="s">
        <v>61</v>
      </c>
      <c r="G1004" s="87" t="s">
        <v>95</v>
      </c>
      <c r="H1004" s="90" t="s">
        <v>4552</v>
      </c>
      <c r="I1004" s="90" t="s">
        <v>118</v>
      </c>
      <c r="J1004" s="87" t="s">
        <v>70</v>
      </c>
      <c r="K1004" s="87"/>
      <c r="L1004" s="90" t="s">
        <v>72</v>
      </c>
      <c r="M1004" s="91" t="s">
        <v>72</v>
      </c>
      <c r="N1004" s="90" t="s">
        <v>72</v>
      </c>
      <c r="O1004" s="90" t="str">
        <f t="shared" si="133"/>
        <v>Sumapaz</v>
      </c>
      <c r="P1004" s="87" t="s">
        <v>327</v>
      </c>
      <c r="Q1004" s="87"/>
      <c r="R1004" s="87"/>
      <c r="S1004" s="87"/>
      <c r="T1004" s="87"/>
      <c r="U1004" s="87"/>
      <c r="V1004" s="90" t="str">
        <f>_xlfn.TEXTJOIN(", ",TRUE,$W1004:$AB1004)</f>
        <v>Ruralidad</v>
      </c>
      <c r="W1004" s="87" t="s">
        <v>109</v>
      </c>
      <c r="X1004" s="87"/>
      <c r="Y1004" s="87"/>
      <c r="Z1004" s="87"/>
      <c r="AA1004" s="87"/>
      <c r="AB1004" s="87"/>
      <c r="AC1004" s="90" t="str">
        <f>_xlfn.TEXTJOIN(", ",TRUE,$AD1004:$AM1004)</f>
        <v>Sumapaz</v>
      </c>
      <c r="AD1004" s="87" t="s">
        <v>327</v>
      </c>
      <c r="AE1004" s="87"/>
      <c r="AF1004" s="87"/>
      <c r="AG1004" s="87"/>
      <c r="AH1004" s="87"/>
      <c r="AI1004" s="87"/>
      <c r="AJ1004" s="87"/>
      <c r="AK1004" s="87"/>
      <c r="AL1004" s="87"/>
      <c r="AM1004" s="87"/>
      <c r="AN1004" s="90" t="s">
        <v>2448</v>
      </c>
      <c r="AO1004" s="102" t="s">
        <v>2667</v>
      </c>
      <c r="AP1004" s="82"/>
      <c r="AQ1004" s="87" t="s">
        <v>59</v>
      </c>
      <c r="AR1004" s="87" t="s">
        <v>80</v>
      </c>
      <c r="AS1004" s="82"/>
      <c r="AT1004" s="87">
        <v>0</v>
      </c>
      <c r="AU1004" s="87">
        <v>11</v>
      </c>
      <c r="AV1004" s="87">
        <f t="shared" si="211"/>
        <v>11</v>
      </c>
      <c r="AW1004" s="87" t="s">
        <v>184</v>
      </c>
      <c r="AX1004" s="87"/>
      <c r="AY1004" s="87"/>
      <c r="AZ1004" s="87"/>
      <c r="BA1004" s="91" t="s">
        <v>4553</v>
      </c>
      <c r="BB1004" s="84"/>
      <c r="BC1004" s="85"/>
      <c r="BD1004" s="85"/>
    </row>
    <row r="1005" spans="1:56" s="86" customFormat="1" ht="57" customHeight="1">
      <c r="A1005" s="87">
        <v>1000</v>
      </c>
      <c r="B1005" s="79" t="s">
        <v>4554</v>
      </c>
      <c r="C1005" s="88">
        <v>45560</v>
      </c>
      <c r="D1005" s="89">
        <v>0.33333333333333331</v>
      </c>
      <c r="E1005" s="87" t="s">
        <v>353</v>
      </c>
      <c r="F1005" s="87" t="s">
        <v>135</v>
      </c>
      <c r="G1005" s="87" t="s">
        <v>62</v>
      </c>
      <c r="H1005" s="90" t="s">
        <v>4449</v>
      </c>
      <c r="I1005" s="90" t="s">
        <v>64</v>
      </c>
      <c r="J1005" s="87" t="s">
        <v>70</v>
      </c>
      <c r="K1005" s="87" t="s">
        <v>71</v>
      </c>
      <c r="L1005" s="90" t="s">
        <v>72</v>
      </c>
      <c r="M1005" s="91" t="s">
        <v>72</v>
      </c>
      <c r="N1005" s="90" t="s">
        <v>72</v>
      </c>
      <c r="O1005" s="90" t="s">
        <v>73</v>
      </c>
      <c r="P1005" s="87" t="s">
        <v>73</v>
      </c>
      <c r="Q1005" s="87"/>
      <c r="R1005" s="87"/>
      <c r="S1005" s="87"/>
      <c r="T1005" s="87"/>
      <c r="U1005" s="87"/>
      <c r="V1005" s="90" t="s">
        <v>73</v>
      </c>
      <c r="W1005" s="87" t="s">
        <v>73</v>
      </c>
      <c r="X1005" s="87"/>
      <c r="Y1005" s="87"/>
      <c r="Z1005" s="87"/>
      <c r="AA1005" s="87"/>
      <c r="AB1005" s="87"/>
      <c r="AC1005" s="90" t="s">
        <v>73</v>
      </c>
      <c r="AD1005" s="87" t="s">
        <v>73</v>
      </c>
      <c r="AE1005" s="87"/>
      <c r="AF1005" s="87"/>
      <c r="AG1005" s="87"/>
      <c r="AH1005" s="87"/>
      <c r="AI1005" s="87"/>
      <c r="AJ1005" s="87"/>
      <c r="AK1005" s="87"/>
      <c r="AL1005" s="87"/>
      <c r="AM1005" s="87"/>
      <c r="AN1005" s="90" t="s">
        <v>80</v>
      </c>
      <c r="AO1005" s="90" t="s">
        <v>4436</v>
      </c>
      <c r="AP1005" s="82"/>
      <c r="AQ1005" s="87" t="s">
        <v>59</v>
      </c>
      <c r="AR1005" s="87" t="s">
        <v>80</v>
      </c>
      <c r="AS1005" s="82"/>
      <c r="AT1005" s="87">
        <v>0</v>
      </c>
      <c r="AU1005" s="87">
        <v>10</v>
      </c>
      <c r="AV1005" s="87">
        <f t="shared" si="211"/>
        <v>10</v>
      </c>
      <c r="AW1005" s="87" t="s">
        <v>184</v>
      </c>
      <c r="AX1005" s="87"/>
      <c r="AY1005" s="87"/>
      <c r="AZ1005" s="87"/>
      <c r="BA1005" s="91" t="s">
        <v>4555</v>
      </c>
      <c r="BB1005" s="84"/>
      <c r="BC1005" s="85"/>
      <c r="BD1005" s="85"/>
    </row>
    <row r="1006" spans="1:56" s="86" customFormat="1" ht="57" customHeight="1">
      <c r="A1006" s="78">
        <v>1001</v>
      </c>
      <c r="B1006" s="79" t="s">
        <v>4556</v>
      </c>
      <c r="C1006" s="88">
        <v>45560</v>
      </c>
      <c r="D1006" s="89">
        <v>0.33333333333333331</v>
      </c>
      <c r="E1006" s="87" t="s">
        <v>353</v>
      </c>
      <c r="F1006" s="87" t="s">
        <v>135</v>
      </c>
      <c r="G1006" s="87" t="s">
        <v>62</v>
      </c>
      <c r="H1006" s="90" t="s">
        <v>4449</v>
      </c>
      <c r="I1006" s="90" t="s">
        <v>64</v>
      </c>
      <c r="J1006" s="87" t="s">
        <v>70</v>
      </c>
      <c r="K1006" s="87" t="s">
        <v>71</v>
      </c>
      <c r="L1006" s="90" t="s">
        <v>72</v>
      </c>
      <c r="M1006" s="91" t="s">
        <v>72</v>
      </c>
      <c r="N1006" s="90" t="s">
        <v>72</v>
      </c>
      <c r="O1006" s="90" t="s">
        <v>73</v>
      </c>
      <c r="P1006" s="87" t="s">
        <v>73</v>
      </c>
      <c r="Q1006" s="87"/>
      <c r="R1006" s="87"/>
      <c r="S1006" s="87"/>
      <c r="T1006" s="87"/>
      <c r="U1006" s="87"/>
      <c r="V1006" s="90" t="s">
        <v>73</v>
      </c>
      <c r="W1006" s="87" t="s">
        <v>73</v>
      </c>
      <c r="X1006" s="87"/>
      <c r="Y1006" s="87"/>
      <c r="Z1006" s="87"/>
      <c r="AA1006" s="87"/>
      <c r="AB1006" s="87"/>
      <c r="AC1006" s="90" t="s">
        <v>73</v>
      </c>
      <c r="AD1006" s="87" t="s">
        <v>73</v>
      </c>
      <c r="AE1006" s="87"/>
      <c r="AF1006" s="87"/>
      <c r="AG1006" s="87"/>
      <c r="AH1006" s="87"/>
      <c r="AI1006" s="87"/>
      <c r="AJ1006" s="87"/>
      <c r="AK1006" s="87"/>
      <c r="AL1006" s="87"/>
      <c r="AM1006" s="87"/>
      <c r="AN1006" s="90" t="s">
        <v>80</v>
      </c>
      <c r="AO1006" s="90" t="s">
        <v>4436</v>
      </c>
      <c r="AP1006" s="82"/>
      <c r="AQ1006" s="87" t="s">
        <v>59</v>
      </c>
      <c r="AR1006" s="87" t="s">
        <v>80</v>
      </c>
      <c r="AS1006" s="82"/>
      <c r="AT1006" s="87">
        <v>0</v>
      </c>
      <c r="AU1006" s="87">
        <v>12</v>
      </c>
      <c r="AV1006" s="87">
        <f t="shared" si="211"/>
        <v>12</v>
      </c>
      <c r="AW1006" s="87" t="s">
        <v>184</v>
      </c>
      <c r="AX1006" s="87"/>
      <c r="AY1006" s="87"/>
      <c r="AZ1006" s="87"/>
      <c r="BA1006" s="91" t="s">
        <v>4555</v>
      </c>
      <c r="BB1006" s="84"/>
      <c r="BC1006" s="85"/>
      <c r="BD1006" s="85"/>
    </row>
    <row r="1007" spans="1:56" s="86" customFormat="1" ht="57" customHeight="1">
      <c r="A1007" s="87">
        <v>1002</v>
      </c>
      <c r="B1007" s="79" t="s">
        <v>4557</v>
      </c>
      <c r="C1007" s="88">
        <v>45560</v>
      </c>
      <c r="D1007" s="89">
        <v>0.33333333333333331</v>
      </c>
      <c r="E1007" s="87" t="s">
        <v>353</v>
      </c>
      <c r="F1007" s="87" t="s">
        <v>135</v>
      </c>
      <c r="G1007" s="87" t="s">
        <v>62</v>
      </c>
      <c r="H1007" s="90" t="s">
        <v>4558</v>
      </c>
      <c r="I1007" s="90" t="s">
        <v>64</v>
      </c>
      <c r="J1007" s="87" t="s">
        <v>70</v>
      </c>
      <c r="K1007" s="87" t="s">
        <v>71</v>
      </c>
      <c r="L1007" s="90" t="s">
        <v>72</v>
      </c>
      <c r="M1007" s="91" t="s">
        <v>72</v>
      </c>
      <c r="N1007" s="90" t="s">
        <v>72</v>
      </c>
      <c r="O1007" s="90" t="s">
        <v>73</v>
      </c>
      <c r="P1007" s="87" t="s">
        <v>73</v>
      </c>
      <c r="Q1007" s="87"/>
      <c r="R1007" s="87"/>
      <c r="S1007" s="87"/>
      <c r="T1007" s="87"/>
      <c r="U1007" s="87"/>
      <c r="V1007" s="90" t="s">
        <v>73</v>
      </c>
      <c r="W1007" s="87" t="s">
        <v>73</v>
      </c>
      <c r="X1007" s="87"/>
      <c r="Y1007" s="87"/>
      <c r="Z1007" s="87"/>
      <c r="AA1007" s="87"/>
      <c r="AB1007" s="87"/>
      <c r="AC1007" s="90" t="s">
        <v>73</v>
      </c>
      <c r="AD1007" s="87" t="s">
        <v>73</v>
      </c>
      <c r="AE1007" s="87"/>
      <c r="AF1007" s="87"/>
      <c r="AG1007" s="87"/>
      <c r="AH1007" s="87"/>
      <c r="AI1007" s="87"/>
      <c r="AJ1007" s="87"/>
      <c r="AK1007" s="87"/>
      <c r="AL1007" s="87"/>
      <c r="AM1007" s="87"/>
      <c r="AN1007" s="90" t="s">
        <v>80</v>
      </c>
      <c r="AO1007" s="90" t="s">
        <v>4436</v>
      </c>
      <c r="AP1007" s="82"/>
      <c r="AQ1007" s="87" t="s">
        <v>59</v>
      </c>
      <c r="AR1007" s="87" t="s">
        <v>80</v>
      </c>
      <c r="AS1007" s="82"/>
      <c r="AT1007" s="87">
        <v>0</v>
      </c>
      <c r="AU1007" s="87">
        <v>12</v>
      </c>
      <c r="AV1007" s="87">
        <f t="shared" si="211"/>
        <v>12</v>
      </c>
      <c r="AW1007" s="87" t="s">
        <v>184</v>
      </c>
      <c r="AX1007" s="87"/>
      <c r="AY1007" s="87"/>
      <c r="AZ1007" s="87"/>
      <c r="BA1007" s="91" t="s">
        <v>4559</v>
      </c>
      <c r="BB1007" s="84"/>
      <c r="BC1007" s="85"/>
      <c r="BD1007" s="85"/>
    </row>
    <row r="1008" spans="1:56" s="86" customFormat="1" ht="57" customHeight="1">
      <c r="A1008" s="78">
        <v>1003</v>
      </c>
      <c r="B1008" s="90" t="s">
        <v>4560</v>
      </c>
      <c r="C1008" s="88">
        <v>45560</v>
      </c>
      <c r="D1008" s="89">
        <v>0.33333333333333331</v>
      </c>
      <c r="E1008" s="87" t="s">
        <v>353</v>
      </c>
      <c r="F1008" s="87" t="s">
        <v>135</v>
      </c>
      <c r="G1008" s="87" t="s">
        <v>62</v>
      </c>
      <c r="H1008" s="90" t="s">
        <v>4561</v>
      </c>
      <c r="I1008" s="90" t="s">
        <v>64</v>
      </c>
      <c r="J1008" s="87" t="s">
        <v>70</v>
      </c>
      <c r="K1008" s="87" t="s">
        <v>71</v>
      </c>
      <c r="L1008" s="90" t="s">
        <v>72</v>
      </c>
      <c r="M1008" s="91" t="s">
        <v>72</v>
      </c>
      <c r="N1008" s="90" t="s">
        <v>72</v>
      </c>
      <c r="O1008" s="90" t="s">
        <v>73</v>
      </c>
      <c r="P1008" s="87" t="s">
        <v>73</v>
      </c>
      <c r="Q1008" s="87"/>
      <c r="R1008" s="87"/>
      <c r="S1008" s="87"/>
      <c r="T1008" s="87"/>
      <c r="U1008" s="87"/>
      <c r="V1008" s="90" t="s">
        <v>73</v>
      </c>
      <c r="W1008" s="87" t="s">
        <v>73</v>
      </c>
      <c r="X1008" s="87"/>
      <c r="Y1008" s="87"/>
      <c r="Z1008" s="87"/>
      <c r="AA1008" s="87"/>
      <c r="AB1008" s="87"/>
      <c r="AC1008" s="90" t="s">
        <v>73</v>
      </c>
      <c r="AD1008" s="87" t="s">
        <v>73</v>
      </c>
      <c r="AE1008" s="87"/>
      <c r="AF1008" s="87"/>
      <c r="AG1008" s="87"/>
      <c r="AH1008" s="87"/>
      <c r="AI1008" s="87"/>
      <c r="AJ1008" s="87"/>
      <c r="AK1008" s="87"/>
      <c r="AL1008" s="87"/>
      <c r="AM1008" s="87"/>
      <c r="AN1008" s="90" t="s">
        <v>80</v>
      </c>
      <c r="AO1008" s="90" t="s">
        <v>4562</v>
      </c>
      <c r="AP1008" s="82"/>
      <c r="AQ1008" s="87" t="s">
        <v>59</v>
      </c>
      <c r="AR1008" s="87" t="s">
        <v>80</v>
      </c>
      <c r="AS1008" s="82"/>
      <c r="AT1008" s="87">
        <v>0</v>
      </c>
      <c r="AU1008" s="87">
        <v>7</v>
      </c>
      <c r="AV1008" s="87">
        <f t="shared" si="211"/>
        <v>7</v>
      </c>
      <c r="AW1008" s="87" t="str">
        <f t="shared" ref="AW1008:AW1010" si="212">_xlfn.TEXTJOIN(", ",TRUE,$AX1008:$AZ1008)</f>
        <v>Accesibilidad Universal, Horarios Acordes</v>
      </c>
      <c r="AX1008" s="87" t="s">
        <v>246</v>
      </c>
      <c r="AY1008" s="87" t="s">
        <v>213</v>
      </c>
      <c r="AZ1008" s="87"/>
      <c r="BA1008" s="91" t="s">
        <v>4563</v>
      </c>
      <c r="BB1008" s="84"/>
      <c r="BC1008" s="85"/>
      <c r="BD1008" s="85"/>
    </row>
    <row r="1009" spans="1:56" s="86" customFormat="1" ht="93.75" customHeight="1">
      <c r="A1009" s="87">
        <v>1004</v>
      </c>
      <c r="B1009" s="79" t="s">
        <v>4564</v>
      </c>
      <c r="C1009" s="88">
        <v>45560</v>
      </c>
      <c r="D1009" s="89">
        <v>0.375</v>
      </c>
      <c r="E1009" s="87" t="s">
        <v>353</v>
      </c>
      <c r="F1009" s="87" t="s">
        <v>2207</v>
      </c>
      <c r="G1009" s="87" t="s">
        <v>62</v>
      </c>
      <c r="H1009" s="90" t="s">
        <v>4565</v>
      </c>
      <c r="I1009" s="90" t="s">
        <v>188</v>
      </c>
      <c r="J1009" s="87" t="s">
        <v>173</v>
      </c>
      <c r="K1009" s="87"/>
      <c r="L1009" s="90" t="s">
        <v>72</v>
      </c>
      <c r="M1009" s="90" t="s">
        <v>72</v>
      </c>
      <c r="N1009" s="90" t="s">
        <v>72</v>
      </c>
      <c r="O1009" s="90" t="str">
        <f t="shared" si="133"/>
        <v>Distrital</v>
      </c>
      <c r="P1009" s="87" t="s">
        <v>73</v>
      </c>
      <c r="Q1009" s="87"/>
      <c r="R1009" s="87"/>
      <c r="S1009" s="87"/>
      <c r="T1009" s="87"/>
      <c r="U1009" s="87"/>
      <c r="V1009" s="90" t="str">
        <f t="shared" si="137"/>
        <v>Distrital</v>
      </c>
      <c r="W1009" s="87" t="s">
        <v>73</v>
      </c>
      <c r="X1009" s="87"/>
      <c r="Y1009" s="87"/>
      <c r="Z1009" s="87"/>
      <c r="AA1009" s="87"/>
      <c r="AB1009" s="87"/>
      <c r="AC1009" s="90" t="str">
        <f t="shared" si="138"/>
        <v>Distrital</v>
      </c>
      <c r="AD1009" s="87" t="s">
        <v>73</v>
      </c>
      <c r="AE1009" s="87"/>
      <c r="AF1009" s="87"/>
      <c r="AG1009" s="87"/>
      <c r="AH1009" s="87"/>
      <c r="AI1009" s="87"/>
      <c r="AJ1009" s="87"/>
      <c r="AK1009" s="87"/>
      <c r="AL1009" s="87"/>
      <c r="AM1009" s="87"/>
      <c r="AN1009" s="90" t="s">
        <v>1629</v>
      </c>
      <c r="AO1009" s="90" t="s">
        <v>2210</v>
      </c>
      <c r="AP1009" s="82"/>
      <c r="AQ1009" s="87" t="s">
        <v>59</v>
      </c>
      <c r="AR1009" s="87" t="s">
        <v>80</v>
      </c>
      <c r="AS1009" s="82"/>
      <c r="AT1009" s="87">
        <v>50</v>
      </c>
      <c r="AU1009" s="87">
        <v>50</v>
      </c>
      <c r="AV1009" s="87">
        <f t="shared" ref="AV1009" si="213">AT1009+AU1009</f>
        <v>100</v>
      </c>
      <c r="AW1009" s="87" t="str">
        <f t="shared" si="212"/>
        <v>Lenguaje de señas</v>
      </c>
      <c r="AX1009" s="87" t="s">
        <v>211</v>
      </c>
      <c r="AY1009" s="87"/>
      <c r="AZ1009" s="87"/>
      <c r="BA1009" s="91" t="s">
        <v>4568</v>
      </c>
      <c r="BB1009" s="84"/>
      <c r="BC1009" s="85"/>
      <c r="BD1009" s="85"/>
    </row>
    <row r="1010" spans="1:56" s="86" customFormat="1" ht="53.25" customHeight="1">
      <c r="A1010" s="78">
        <v>1005</v>
      </c>
      <c r="B1010" s="90" t="s">
        <v>4569</v>
      </c>
      <c r="C1010" s="88">
        <v>45560</v>
      </c>
      <c r="D1010" s="89">
        <v>0.54166666666666663</v>
      </c>
      <c r="E1010" s="87" t="s">
        <v>353</v>
      </c>
      <c r="F1010" s="87" t="s">
        <v>135</v>
      </c>
      <c r="G1010" s="87" t="s">
        <v>62</v>
      </c>
      <c r="H1010" s="90" t="s">
        <v>4561</v>
      </c>
      <c r="I1010" s="90" t="s">
        <v>64</v>
      </c>
      <c r="J1010" s="87" t="s">
        <v>70</v>
      </c>
      <c r="K1010" s="87" t="s">
        <v>71</v>
      </c>
      <c r="L1010" s="90" t="s">
        <v>72</v>
      </c>
      <c r="M1010" s="91" t="s">
        <v>72</v>
      </c>
      <c r="N1010" s="90" t="s">
        <v>72</v>
      </c>
      <c r="O1010" s="90" t="s">
        <v>73</v>
      </c>
      <c r="P1010" s="87" t="s">
        <v>73</v>
      </c>
      <c r="Q1010" s="87"/>
      <c r="R1010" s="87"/>
      <c r="S1010" s="87"/>
      <c r="T1010" s="87"/>
      <c r="U1010" s="87"/>
      <c r="V1010" s="90" t="s">
        <v>73</v>
      </c>
      <c r="W1010" s="87" t="s">
        <v>73</v>
      </c>
      <c r="X1010" s="87"/>
      <c r="Y1010" s="87"/>
      <c r="Z1010" s="87"/>
      <c r="AA1010" s="87"/>
      <c r="AB1010" s="87"/>
      <c r="AC1010" s="90" t="s">
        <v>73</v>
      </c>
      <c r="AD1010" s="87" t="s">
        <v>73</v>
      </c>
      <c r="AE1010" s="87"/>
      <c r="AF1010" s="87"/>
      <c r="AG1010" s="87"/>
      <c r="AH1010" s="87"/>
      <c r="AI1010" s="87"/>
      <c r="AJ1010" s="87"/>
      <c r="AK1010" s="87"/>
      <c r="AL1010" s="87"/>
      <c r="AM1010" s="87"/>
      <c r="AN1010" s="90" t="s">
        <v>80</v>
      </c>
      <c r="AO1010" s="90" t="s">
        <v>4562</v>
      </c>
      <c r="AP1010" s="82"/>
      <c r="AQ1010" s="87" t="s">
        <v>59</v>
      </c>
      <c r="AR1010" s="87" t="s">
        <v>80</v>
      </c>
      <c r="AS1010" s="82"/>
      <c r="AT1010" s="87">
        <v>0</v>
      </c>
      <c r="AU1010" s="87">
        <v>7</v>
      </c>
      <c r="AV1010" s="87">
        <v>0</v>
      </c>
      <c r="AW1010" s="87" t="str">
        <f t="shared" si="212"/>
        <v>Accesibilidad Universal, Horarios Acordes</v>
      </c>
      <c r="AX1010" s="87" t="s">
        <v>246</v>
      </c>
      <c r="AY1010" s="87" t="s">
        <v>213</v>
      </c>
      <c r="AZ1010" s="87"/>
      <c r="BA1010" s="91" t="s">
        <v>4570</v>
      </c>
      <c r="BB1010" s="84"/>
      <c r="BC1010" s="85"/>
      <c r="BD1010" s="85"/>
    </row>
    <row r="1011" spans="1:56" s="86" customFormat="1" ht="57" customHeight="1">
      <c r="A1011" s="87">
        <v>1006</v>
      </c>
      <c r="B1011" s="79" t="s">
        <v>4571</v>
      </c>
      <c r="C1011" s="88">
        <v>45560</v>
      </c>
      <c r="D1011" s="89">
        <v>0.54166666666666663</v>
      </c>
      <c r="E1011" s="87" t="s">
        <v>353</v>
      </c>
      <c r="F1011" s="87" t="s">
        <v>135</v>
      </c>
      <c r="G1011" s="87" t="s">
        <v>62</v>
      </c>
      <c r="H1011" s="90" t="s">
        <v>4572</v>
      </c>
      <c r="I1011" s="90" t="s">
        <v>64</v>
      </c>
      <c r="J1011" s="87" t="s">
        <v>70</v>
      </c>
      <c r="K1011" s="87" t="s">
        <v>71</v>
      </c>
      <c r="L1011" s="90" t="s">
        <v>72</v>
      </c>
      <c r="M1011" s="91" t="s">
        <v>72</v>
      </c>
      <c r="N1011" s="90" t="s">
        <v>72</v>
      </c>
      <c r="O1011" s="90" t="s">
        <v>73</v>
      </c>
      <c r="P1011" s="87" t="s">
        <v>73</v>
      </c>
      <c r="Q1011" s="87"/>
      <c r="R1011" s="87"/>
      <c r="S1011" s="87"/>
      <c r="T1011" s="87"/>
      <c r="U1011" s="87"/>
      <c r="V1011" s="90" t="s">
        <v>73</v>
      </c>
      <c r="W1011" s="87" t="s">
        <v>73</v>
      </c>
      <c r="X1011" s="87"/>
      <c r="Y1011" s="87"/>
      <c r="Z1011" s="87"/>
      <c r="AA1011" s="87"/>
      <c r="AB1011" s="87"/>
      <c r="AC1011" s="90" t="s">
        <v>73</v>
      </c>
      <c r="AD1011" s="87" t="s">
        <v>73</v>
      </c>
      <c r="AE1011" s="87"/>
      <c r="AF1011" s="87"/>
      <c r="AG1011" s="87"/>
      <c r="AH1011" s="87"/>
      <c r="AI1011" s="87"/>
      <c r="AJ1011" s="87"/>
      <c r="AK1011" s="87"/>
      <c r="AL1011" s="87"/>
      <c r="AM1011" s="87"/>
      <c r="AN1011" s="90" t="s">
        <v>80</v>
      </c>
      <c r="AO1011" s="90" t="s">
        <v>4436</v>
      </c>
      <c r="AP1011" s="82"/>
      <c r="AQ1011" s="87" t="s">
        <v>59</v>
      </c>
      <c r="AR1011" s="87" t="s">
        <v>80</v>
      </c>
      <c r="AS1011" s="82"/>
      <c r="AT1011" s="87">
        <v>0</v>
      </c>
      <c r="AU1011" s="87">
        <v>12</v>
      </c>
      <c r="AV1011" s="87">
        <f>AT1011+AU1011</f>
        <v>12</v>
      </c>
      <c r="AW1011" s="87" t="s">
        <v>184</v>
      </c>
      <c r="AX1011" s="87"/>
      <c r="AY1011" s="87"/>
      <c r="AZ1011" s="87"/>
      <c r="BA1011" s="91" t="s">
        <v>4559</v>
      </c>
      <c r="BB1011" s="84"/>
      <c r="BC1011" s="85"/>
      <c r="BD1011" s="85"/>
    </row>
    <row r="1012" spans="1:56" s="86" customFormat="1" ht="57" customHeight="1">
      <c r="A1012" s="78">
        <v>1007</v>
      </c>
      <c r="B1012" s="79" t="s">
        <v>4573</v>
      </c>
      <c r="C1012" s="88">
        <v>45560</v>
      </c>
      <c r="D1012" s="89">
        <v>0.54166666666666663</v>
      </c>
      <c r="E1012" s="87" t="s">
        <v>353</v>
      </c>
      <c r="F1012" s="87" t="s">
        <v>135</v>
      </c>
      <c r="G1012" s="87" t="s">
        <v>62</v>
      </c>
      <c r="H1012" s="90" t="s">
        <v>4449</v>
      </c>
      <c r="I1012" s="90" t="s">
        <v>64</v>
      </c>
      <c r="J1012" s="87" t="s">
        <v>70</v>
      </c>
      <c r="K1012" s="87" t="s">
        <v>71</v>
      </c>
      <c r="L1012" s="90" t="s">
        <v>72</v>
      </c>
      <c r="M1012" s="91" t="s">
        <v>72</v>
      </c>
      <c r="N1012" s="90" t="s">
        <v>72</v>
      </c>
      <c r="O1012" s="90" t="s">
        <v>73</v>
      </c>
      <c r="P1012" s="87" t="s">
        <v>73</v>
      </c>
      <c r="Q1012" s="87"/>
      <c r="R1012" s="87"/>
      <c r="S1012" s="87"/>
      <c r="T1012" s="87"/>
      <c r="U1012" s="87"/>
      <c r="V1012" s="90" t="s">
        <v>73</v>
      </c>
      <c r="W1012" s="87" t="s">
        <v>73</v>
      </c>
      <c r="X1012" s="87"/>
      <c r="Y1012" s="87"/>
      <c r="Z1012" s="87"/>
      <c r="AA1012" s="87"/>
      <c r="AB1012" s="87"/>
      <c r="AC1012" s="90" t="s">
        <v>73</v>
      </c>
      <c r="AD1012" s="87" t="s">
        <v>73</v>
      </c>
      <c r="AE1012" s="87"/>
      <c r="AF1012" s="87"/>
      <c r="AG1012" s="87"/>
      <c r="AH1012" s="87"/>
      <c r="AI1012" s="87"/>
      <c r="AJ1012" s="87"/>
      <c r="AK1012" s="87"/>
      <c r="AL1012" s="87"/>
      <c r="AM1012" s="87"/>
      <c r="AN1012" s="90" t="s">
        <v>80</v>
      </c>
      <c r="AO1012" s="90" t="s">
        <v>4436</v>
      </c>
      <c r="AP1012" s="82"/>
      <c r="AQ1012" s="87" t="s">
        <v>59</v>
      </c>
      <c r="AR1012" s="87" t="s">
        <v>80</v>
      </c>
      <c r="AS1012" s="82"/>
      <c r="AT1012" s="87">
        <v>0</v>
      </c>
      <c r="AU1012" s="87">
        <v>10</v>
      </c>
      <c r="AV1012" s="87">
        <v>10</v>
      </c>
      <c r="AW1012" s="87" t="s">
        <v>184</v>
      </c>
      <c r="AX1012" s="87"/>
      <c r="AY1012" s="87"/>
      <c r="AZ1012" s="87"/>
      <c r="BA1012" s="91" t="s">
        <v>4555</v>
      </c>
      <c r="BB1012" s="84"/>
      <c r="BC1012" s="85"/>
      <c r="BD1012" s="85"/>
    </row>
    <row r="1013" spans="1:56" s="86" customFormat="1" ht="57" customHeight="1">
      <c r="A1013" s="87">
        <v>1008</v>
      </c>
      <c r="B1013" s="79" t="s">
        <v>4574</v>
      </c>
      <c r="C1013" s="88">
        <v>45560</v>
      </c>
      <c r="D1013" s="89">
        <v>0.54166666666666663</v>
      </c>
      <c r="E1013" s="87" t="s">
        <v>353</v>
      </c>
      <c r="F1013" s="87" t="s">
        <v>135</v>
      </c>
      <c r="G1013" s="87" t="s">
        <v>62</v>
      </c>
      <c r="H1013" s="90" t="s">
        <v>4449</v>
      </c>
      <c r="I1013" s="90" t="s">
        <v>64</v>
      </c>
      <c r="J1013" s="87" t="s">
        <v>70</v>
      </c>
      <c r="K1013" s="87" t="s">
        <v>71</v>
      </c>
      <c r="L1013" s="90" t="s">
        <v>72</v>
      </c>
      <c r="M1013" s="91" t="s">
        <v>72</v>
      </c>
      <c r="N1013" s="90" t="s">
        <v>72</v>
      </c>
      <c r="O1013" s="90" t="s">
        <v>73</v>
      </c>
      <c r="P1013" s="87" t="s">
        <v>73</v>
      </c>
      <c r="Q1013" s="87"/>
      <c r="R1013" s="87"/>
      <c r="S1013" s="87"/>
      <c r="T1013" s="87"/>
      <c r="U1013" s="87"/>
      <c r="V1013" s="90" t="s">
        <v>73</v>
      </c>
      <c r="W1013" s="87" t="s">
        <v>73</v>
      </c>
      <c r="X1013" s="87"/>
      <c r="Y1013" s="87"/>
      <c r="Z1013" s="87"/>
      <c r="AA1013" s="87"/>
      <c r="AB1013" s="87"/>
      <c r="AC1013" s="90" t="s">
        <v>73</v>
      </c>
      <c r="AD1013" s="87" t="s">
        <v>73</v>
      </c>
      <c r="AE1013" s="87"/>
      <c r="AF1013" s="87"/>
      <c r="AG1013" s="87"/>
      <c r="AH1013" s="87"/>
      <c r="AI1013" s="87"/>
      <c r="AJ1013" s="87"/>
      <c r="AK1013" s="87"/>
      <c r="AL1013" s="87"/>
      <c r="AM1013" s="87"/>
      <c r="AN1013" s="90" t="s">
        <v>80</v>
      </c>
      <c r="AO1013" s="90" t="s">
        <v>4436</v>
      </c>
      <c r="AP1013" s="82"/>
      <c r="AQ1013" s="87" t="s">
        <v>59</v>
      </c>
      <c r="AR1013" s="87" t="s">
        <v>80</v>
      </c>
      <c r="AS1013" s="82"/>
      <c r="AT1013" s="87">
        <v>0</v>
      </c>
      <c r="AU1013" s="87">
        <v>12</v>
      </c>
      <c r="AV1013" s="87">
        <v>12</v>
      </c>
      <c r="AW1013" s="87" t="s">
        <v>184</v>
      </c>
      <c r="AX1013" s="87"/>
      <c r="AY1013" s="87"/>
      <c r="AZ1013" s="87"/>
      <c r="BA1013" s="91" t="s">
        <v>4555</v>
      </c>
      <c r="BB1013" s="84"/>
      <c r="BC1013" s="85"/>
      <c r="BD1013" s="85"/>
    </row>
    <row r="1014" spans="1:56" s="86" customFormat="1" ht="68.25" customHeight="1">
      <c r="A1014" s="78">
        <v>1009</v>
      </c>
      <c r="B1014" s="79" t="s">
        <v>4575</v>
      </c>
      <c r="C1014" s="88">
        <v>45560</v>
      </c>
      <c r="D1014" s="89">
        <v>0.58333333333333337</v>
      </c>
      <c r="E1014" s="87" t="s">
        <v>353</v>
      </c>
      <c r="F1014" s="87" t="s">
        <v>2207</v>
      </c>
      <c r="G1014" s="87" t="s">
        <v>62</v>
      </c>
      <c r="H1014" s="90" t="s">
        <v>4565</v>
      </c>
      <c r="I1014" s="90" t="s">
        <v>188</v>
      </c>
      <c r="J1014" s="87" t="s">
        <v>173</v>
      </c>
      <c r="K1014" s="87"/>
      <c r="L1014" s="90" t="s">
        <v>72</v>
      </c>
      <c r="M1014" s="90" t="s">
        <v>72</v>
      </c>
      <c r="N1014" s="90" t="s">
        <v>72</v>
      </c>
      <c r="O1014" s="90" t="str">
        <f t="shared" si="133"/>
        <v>Distrital</v>
      </c>
      <c r="P1014" s="87" t="s">
        <v>73</v>
      </c>
      <c r="Q1014" s="87"/>
      <c r="R1014" s="87"/>
      <c r="S1014" s="87"/>
      <c r="T1014" s="87"/>
      <c r="U1014" s="87"/>
      <c r="V1014" s="90" t="str">
        <f t="shared" si="137"/>
        <v>Distrital</v>
      </c>
      <c r="W1014" s="87" t="s">
        <v>73</v>
      </c>
      <c r="X1014" s="87"/>
      <c r="Y1014" s="87"/>
      <c r="Z1014" s="87"/>
      <c r="AA1014" s="87"/>
      <c r="AB1014" s="87"/>
      <c r="AC1014" s="90" t="str">
        <f t="shared" si="138"/>
        <v>Distrital</v>
      </c>
      <c r="AD1014" s="87" t="s">
        <v>73</v>
      </c>
      <c r="AE1014" s="87"/>
      <c r="AF1014" s="87"/>
      <c r="AG1014" s="87"/>
      <c r="AH1014" s="87"/>
      <c r="AI1014" s="87"/>
      <c r="AJ1014" s="87"/>
      <c r="AK1014" s="87"/>
      <c r="AL1014" s="87"/>
      <c r="AM1014" s="87"/>
      <c r="AN1014" s="90" t="s">
        <v>1629</v>
      </c>
      <c r="AO1014" s="90" t="s">
        <v>2210</v>
      </c>
      <c r="AP1014" s="82"/>
      <c r="AQ1014" s="87" t="s">
        <v>59</v>
      </c>
      <c r="AR1014" s="87" t="s">
        <v>80</v>
      </c>
      <c r="AS1014" s="82"/>
      <c r="AT1014" s="87">
        <v>200</v>
      </c>
      <c r="AU1014" s="87">
        <v>50</v>
      </c>
      <c r="AV1014" s="87">
        <f t="shared" ref="AV1014:AV1031" si="214">AT1014+AU1014</f>
        <v>250</v>
      </c>
      <c r="AW1014" s="87" t="str">
        <f t="shared" ref="AW1014" si="215">_xlfn.TEXTJOIN(", ",TRUE,$AX1014:$AZ1014)</f>
        <v>Lenguaje de señas</v>
      </c>
      <c r="AX1014" s="87" t="s">
        <v>211</v>
      </c>
      <c r="AY1014" s="87"/>
      <c r="AZ1014" s="87"/>
      <c r="BA1014" s="91" t="s">
        <v>4576</v>
      </c>
      <c r="BB1014" s="84"/>
      <c r="BC1014" s="85"/>
      <c r="BD1014" s="85"/>
    </row>
    <row r="1015" spans="1:56" s="86" customFormat="1" ht="57" customHeight="1">
      <c r="A1015" s="87">
        <v>1010</v>
      </c>
      <c r="B1015" s="79" t="s">
        <v>2418</v>
      </c>
      <c r="C1015" s="88">
        <v>45560</v>
      </c>
      <c r="D1015" s="89">
        <v>0.70833333333333337</v>
      </c>
      <c r="E1015" s="87" t="s">
        <v>93</v>
      </c>
      <c r="F1015" s="87" t="s">
        <v>102</v>
      </c>
      <c r="G1015" s="87" t="s">
        <v>95</v>
      </c>
      <c r="H1015" s="90" t="s">
        <v>4577</v>
      </c>
      <c r="I1015" s="90" t="s">
        <v>118</v>
      </c>
      <c r="J1015" s="87" t="s">
        <v>173</v>
      </c>
      <c r="K1015" s="87"/>
      <c r="L1015" s="90" t="s">
        <v>1001</v>
      </c>
      <c r="M1015" s="91" t="s">
        <v>3012</v>
      </c>
      <c r="N1015" s="90" t="s">
        <v>4578</v>
      </c>
      <c r="O1015" s="90" t="str">
        <f t="shared" si="133"/>
        <v>Distrital</v>
      </c>
      <c r="P1015" s="87" t="s">
        <v>73</v>
      </c>
      <c r="Q1015" s="87"/>
      <c r="R1015" s="87"/>
      <c r="S1015" s="87"/>
      <c r="T1015" s="87"/>
      <c r="U1015" s="87"/>
      <c r="V1015" s="90" t="str">
        <f t="shared" si="137"/>
        <v>Distrital</v>
      </c>
      <c r="W1015" s="87" t="s">
        <v>73</v>
      </c>
      <c r="X1015" s="87"/>
      <c r="Y1015" s="87"/>
      <c r="Z1015" s="87"/>
      <c r="AA1015" s="87"/>
      <c r="AB1015" s="87"/>
      <c r="AC1015" s="90" t="str">
        <f>_xlfn.TEXTJOIN(", ",TRUE,$AD1015:$AM1015)</f>
        <v>Distrital</v>
      </c>
      <c r="AD1015" s="87" t="s">
        <v>73</v>
      </c>
      <c r="AE1015" s="87"/>
      <c r="AF1015" s="87"/>
      <c r="AG1015" s="87"/>
      <c r="AH1015" s="87"/>
      <c r="AI1015" s="87"/>
      <c r="AJ1015" s="87"/>
      <c r="AK1015" s="87"/>
      <c r="AL1015" s="87"/>
      <c r="AM1015" s="87"/>
      <c r="AN1015" s="90" t="s">
        <v>80</v>
      </c>
      <c r="AO1015" s="90" t="s">
        <v>129</v>
      </c>
      <c r="AP1015" s="82"/>
      <c r="AQ1015" s="87" t="s">
        <v>59</v>
      </c>
      <c r="AR1015" s="87" t="s">
        <v>80</v>
      </c>
      <c r="AS1015" s="82"/>
      <c r="AT1015" s="87">
        <v>45</v>
      </c>
      <c r="AU1015" s="87">
        <v>2</v>
      </c>
      <c r="AV1015" s="87">
        <f>AT1015+AU1015</f>
        <v>47</v>
      </c>
      <c r="AW1015" s="87" t="s">
        <v>184</v>
      </c>
      <c r="AX1015" s="87"/>
      <c r="AY1015" s="87"/>
      <c r="AZ1015" s="87"/>
      <c r="BA1015" s="91" t="s">
        <v>4579</v>
      </c>
      <c r="BB1015" s="84"/>
      <c r="BC1015" s="85"/>
      <c r="BD1015" s="85"/>
    </row>
    <row r="1016" spans="1:56" s="86" customFormat="1" ht="57" customHeight="1">
      <c r="A1016" s="78">
        <v>1011</v>
      </c>
      <c r="B1016" s="79" t="s">
        <v>4580</v>
      </c>
      <c r="C1016" s="88">
        <v>45561</v>
      </c>
      <c r="D1016" s="89">
        <v>0.33333333333333331</v>
      </c>
      <c r="E1016" s="87" t="s">
        <v>353</v>
      </c>
      <c r="F1016" s="87" t="s">
        <v>135</v>
      </c>
      <c r="G1016" s="87" t="s">
        <v>62</v>
      </c>
      <c r="H1016" s="90" t="s">
        <v>4449</v>
      </c>
      <c r="I1016" s="90" t="s">
        <v>64</v>
      </c>
      <c r="J1016" s="87" t="s">
        <v>70</v>
      </c>
      <c r="K1016" s="87" t="s">
        <v>71</v>
      </c>
      <c r="L1016" s="90" t="s">
        <v>72</v>
      </c>
      <c r="M1016" s="91" t="s">
        <v>72</v>
      </c>
      <c r="N1016" s="90" t="s">
        <v>72</v>
      </c>
      <c r="O1016" s="90" t="s">
        <v>73</v>
      </c>
      <c r="P1016" s="87" t="s">
        <v>73</v>
      </c>
      <c r="Q1016" s="87"/>
      <c r="R1016" s="87"/>
      <c r="S1016" s="87"/>
      <c r="T1016" s="87"/>
      <c r="U1016" s="87"/>
      <c r="V1016" s="90" t="s">
        <v>73</v>
      </c>
      <c r="W1016" s="87" t="s">
        <v>73</v>
      </c>
      <c r="X1016" s="87"/>
      <c r="Y1016" s="87"/>
      <c r="Z1016" s="87"/>
      <c r="AA1016" s="87"/>
      <c r="AB1016" s="87"/>
      <c r="AC1016" s="90" t="s">
        <v>73</v>
      </c>
      <c r="AD1016" s="87" t="s">
        <v>73</v>
      </c>
      <c r="AE1016" s="87"/>
      <c r="AF1016" s="87"/>
      <c r="AG1016" s="87"/>
      <c r="AH1016" s="87"/>
      <c r="AI1016" s="87"/>
      <c r="AJ1016" s="87"/>
      <c r="AK1016" s="87"/>
      <c r="AL1016" s="87"/>
      <c r="AM1016" s="87"/>
      <c r="AN1016" s="90" t="s">
        <v>80</v>
      </c>
      <c r="AO1016" s="90" t="s">
        <v>4436</v>
      </c>
      <c r="AP1016" s="82"/>
      <c r="AQ1016" s="87" t="s">
        <v>59</v>
      </c>
      <c r="AR1016" s="87" t="s">
        <v>80</v>
      </c>
      <c r="AS1016" s="82"/>
      <c r="AT1016" s="87">
        <v>0</v>
      </c>
      <c r="AU1016" s="87">
        <v>11</v>
      </c>
      <c r="AV1016" s="87">
        <f t="shared" ref="AV1016:AV1017" si="216">AT1016+AU1016</f>
        <v>11</v>
      </c>
      <c r="AW1016" s="87" t="s">
        <v>184</v>
      </c>
      <c r="AX1016" s="87"/>
      <c r="AY1016" s="87"/>
      <c r="AZ1016" s="87"/>
      <c r="BA1016" s="91" t="s">
        <v>4581</v>
      </c>
      <c r="BB1016" s="84"/>
      <c r="BC1016" s="85"/>
      <c r="BD1016" s="85"/>
    </row>
    <row r="1017" spans="1:56" s="86" customFormat="1" ht="57" customHeight="1">
      <c r="A1017" s="87">
        <v>1012</v>
      </c>
      <c r="B1017" s="79" t="s">
        <v>4582</v>
      </c>
      <c r="C1017" s="88">
        <v>45561</v>
      </c>
      <c r="D1017" s="89">
        <v>0.33333333333333331</v>
      </c>
      <c r="E1017" s="87" t="s">
        <v>353</v>
      </c>
      <c r="F1017" s="87" t="s">
        <v>135</v>
      </c>
      <c r="G1017" s="87" t="s">
        <v>62</v>
      </c>
      <c r="H1017" s="90" t="s">
        <v>4583</v>
      </c>
      <c r="I1017" s="90" t="s">
        <v>64</v>
      </c>
      <c r="J1017" s="87" t="s">
        <v>70</v>
      </c>
      <c r="K1017" s="87" t="s">
        <v>71</v>
      </c>
      <c r="L1017" s="90" t="s">
        <v>72</v>
      </c>
      <c r="M1017" s="91" t="s">
        <v>72</v>
      </c>
      <c r="N1017" s="90" t="s">
        <v>72</v>
      </c>
      <c r="O1017" s="90" t="s">
        <v>73</v>
      </c>
      <c r="P1017" s="87" t="s">
        <v>73</v>
      </c>
      <c r="Q1017" s="87"/>
      <c r="R1017" s="87"/>
      <c r="S1017" s="87"/>
      <c r="T1017" s="87"/>
      <c r="U1017" s="87"/>
      <c r="V1017" s="90" t="s">
        <v>73</v>
      </c>
      <c r="W1017" s="87" t="s">
        <v>73</v>
      </c>
      <c r="X1017" s="87"/>
      <c r="Y1017" s="87"/>
      <c r="Z1017" s="87"/>
      <c r="AA1017" s="87"/>
      <c r="AB1017" s="87"/>
      <c r="AC1017" s="90" t="s">
        <v>73</v>
      </c>
      <c r="AD1017" s="87" t="s">
        <v>73</v>
      </c>
      <c r="AE1017" s="87"/>
      <c r="AF1017" s="87"/>
      <c r="AG1017" s="87"/>
      <c r="AH1017" s="87"/>
      <c r="AI1017" s="87"/>
      <c r="AJ1017" s="87"/>
      <c r="AK1017" s="87"/>
      <c r="AL1017" s="87"/>
      <c r="AM1017" s="87"/>
      <c r="AN1017" s="90" t="s">
        <v>80</v>
      </c>
      <c r="AO1017" s="90" t="s">
        <v>4436</v>
      </c>
      <c r="AP1017" s="82"/>
      <c r="AQ1017" s="87" t="s">
        <v>59</v>
      </c>
      <c r="AR1017" s="87" t="s">
        <v>80</v>
      </c>
      <c r="AS1017" s="82"/>
      <c r="AT1017" s="87">
        <v>0</v>
      </c>
      <c r="AU1017" s="87">
        <v>5</v>
      </c>
      <c r="AV1017" s="87">
        <f t="shared" si="216"/>
        <v>5</v>
      </c>
      <c r="AW1017" s="87" t="str">
        <f t="shared" ref="AW1017" si="217">_xlfn.TEXTJOIN(", ",TRUE,$AX1017:$AZ1017)</f>
        <v/>
      </c>
      <c r="AX1017" s="87"/>
      <c r="AY1017" s="87"/>
      <c r="AZ1017" s="87"/>
      <c r="BA1017" s="91" t="s">
        <v>4584</v>
      </c>
      <c r="BB1017" s="84"/>
      <c r="BC1017" s="85"/>
      <c r="BD1017" s="85"/>
    </row>
    <row r="1018" spans="1:56" s="86" customFormat="1" ht="57" customHeight="1">
      <c r="A1018" s="78">
        <v>1013</v>
      </c>
      <c r="B1018" s="79" t="s">
        <v>4585</v>
      </c>
      <c r="C1018" s="88">
        <v>45561</v>
      </c>
      <c r="D1018" s="89">
        <v>0.33333333333333331</v>
      </c>
      <c r="E1018" s="87" t="s">
        <v>353</v>
      </c>
      <c r="F1018" s="87" t="s">
        <v>135</v>
      </c>
      <c r="G1018" s="87" t="s">
        <v>62</v>
      </c>
      <c r="H1018" s="90" t="s">
        <v>4449</v>
      </c>
      <c r="I1018" s="90" t="s">
        <v>64</v>
      </c>
      <c r="J1018" s="87" t="s">
        <v>70</v>
      </c>
      <c r="K1018" s="87" t="s">
        <v>71</v>
      </c>
      <c r="L1018" s="90" t="s">
        <v>72</v>
      </c>
      <c r="M1018" s="91" t="s">
        <v>72</v>
      </c>
      <c r="N1018" s="90" t="s">
        <v>72</v>
      </c>
      <c r="O1018" s="90" t="s">
        <v>73</v>
      </c>
      <c r="P1018" s="87" t="s">
        <v>73</v>
      </c>
      <c r="Q1018" s="87"/>
      <c r="R1018" s="87"/>
      <c r="S1018" s="87"/>
      <c r="T1018" s="87"/>
      <c r="U1018" s="87"/>
      <c r="V1018" s="90" t="s">
        <v>73</v>
      </c>
      <c r="W1018" s="87" t="s">
        <v>73</v>
      </c>
      <c r="X1018" s="87"/>
      <c r="Y1018" s="87"/>
      <c r="Z1018" s="87"/>
      <c r="AA1018" s="87"/>
      <c r="AB1018" s="87"/>
      <c r="AC1018" s="90" t="s">
        <v>73</v>
      </c>
      <c r="AD1018" s="87" t="s">
        <v>73</v>
      </c>
      <c r="AE1018" s="87"/>
      <c r="AF1018" s="87"/>
      <c r="AG1018" s="87"/>
      <c r="AH1018" s="87"/>
      <c r="AI1018" s="87"/>
      <c r="AJ1018" s="87"/>
      <c r="AK1018" s="87"/>
      <c r="AL1018" s="87"/>
      <c r="AM1018" s="87"/>
      <c r="AN1018" s="90" t="s">
        <v>80</v>
      </c>
      <c r="AO1018" s="90" t="s">
        <v>4586</v>
      </c>
      <c r="AP1018" s="82"/>
      <c r="AQ1018" s="87" t="s">
        <v>59</v>
      </c>
      <c r="AR1018" s="87" t="s">
        <v>80</v>
      </c>
      <c r="AS1018" s="82"/>
      <c r="AT1018" s="87">
        <v>0</v>
      </c>
      <c r="AU1018" s="87">
        <v>11</v>
      </c>
      <c r="AV1018" s="87">
        <f t="shared" ref="AV1018:AV1023" si="218">AT1018+AU1018</f>
        <v>11</v>
      </c>
      <c r="AW1018" s="87" t="s">
        <v>184</v>
      </c>
      <c r="AX1018" s="87"/>
      <c r="AY1018" s="87"/>
      <c r="AZ1018" s="87"/>
      <c r="BA1018" s="91" t="s">
        <v>4587</v>
      </c>
      <c r="BB1018" s="84"/>
      <c r="BC1018" s="85"/>
      <c r="BD1018" s="85"/>
    </row>
    <row r="1019" spans="1:56" s="86" customFormat="1" ht="57" customHeight="1">
      <c r="A1019" s="87">
        <v>1014</v>
      </c>
      <c r="B1019" s="79" t="s">
        <v>4588</v>
      </c>
      <c r="C1019" s="88">
        <v>45561</v>
      </c>
      <c r="D1019" s="89">
        <v>0.33333333333333331</v>
      </c>
      <c r="E1019" s="87" t="s">
        <v>353</v>
      </c>
      <c r="F1019" s="87" t="s">
        <v>135</v>
      </c>
      <c r="G1019" s="87" t="s">
        <v>62</v>
      </c>
      <c r="H1019" s="90" t="s">
        <v>4449</v>
      </c>
      <c r="I1019" s="90" t="s">
        <v>64</v>
      </c>
      <c r="J1019" s="87" t="s">
        <v>70</v>
      </c>
      <c r="K1019" s="87" t="s">
        <v>71</v>
      </c>
      <c r="L1019" s="90" t="s">
        <v>72</v>
      </c>
      <c r="M1019" s="91" t="s">
        <v>72</v>
      </c>
      <c r="N1019" s="90" t="s">
        <v>72</v>
      </c>
      <c r="O1019" s="90" t="s">
        <v>73</v>
      </c>
      <c r="P1019" s="87" t="s">
        <v>73</v>
      </c>
      <c r="Q1019" s="87"/>
      <c r="R1019" s="87"/>
      <c r="S1019" s="87"/>
      <c r="T1019" s="87"/>
      <c r="U1019" s="87"/>
      <c r="V1019" s="90" t="s">
        <v>73</v>
      </c>
      <c r="W1019" s="87" t="s">
        <v>73</v>
      </c>
      <c r="X1019" s="87"/>
      <c r="Y1019" s="87"/>
      <c r="Z1019" s="87"/>
      <c r="AA1019" s="87"/>
      <c r="AB1019" s="87"/>
      <c r="AC1019" s="90" t="s">
        <v>73</v>
      </c>
      <c r="AD1019" s="87" t="s">
        <v>73</v>
      </c>
      <c r="AE1019" s="87"/>
      <c r="AF1019" s="87"/>
      <c r="AG1019" s="87"/>
      <c r="AH1019" s="87"/>
      <c r="AI1019" s="87"/>
      <c r="AJ1019" s="87"/>
      <c r="AK1019" s="87"/>
      <c r="AL1019" s="87"/>
      <c r="AM1019" s="87"/>
      <c r="AN1019" s="90" t="s">
        <v>80</v>
      </c>
      <c r="AO1019" s="90" t="s">
        <v>4436</v>
      </c>
      <c r="AP1019" s="82"/>
      <c r="AQ1019" s="87" t="s">
        <v>59</v>
      </c>
      <c r="AR1019" s="87" t="s">
        <v>80</v>
      </c>
      <c r="AS1019" s="82"/>
      <c r="AT1019" s="87">
        <v>0</v>
      </c>
      <c r="AU1019" s="87">
        <v>14</v>
      </c>
      <c r="AV1019" s="87">
        <f t="shared" si="218"/>
        <v>14</v>
      </c>
      <c r="AW1019" s="87" t="s">
        <v>184</v>
      </c>
      <c r="AX1019" s="87"/>
      <c r="AY1019" s="87"/>
      <c r="AZ1019" s="87"/>
      <c r="BA1019" s="91" t="s">
        <v>4589</v>
      </c>
      <c r="BB1019" s="84"/>
      <c r="BC1019" s="85"/>
      <c r="BD1019" s="85"/>
    </row>
    <row r="1020" spans="1:56" s="86" customFormat="1" ht="57" customHeight="1">
      <c r="A1020" s="78">
        <v>1015</v>
      </c>
      <c r="B1020" s="79" t="s">
        <v>4590</v>
      </c>
      <c r="C1020" s="88">
        <v>45561</v>
      </c>
      <c r="D1020" s="89">
        <v>0.375</v>
      </c>
      <c r="E1020" s="87" t="s">
        <v>58</v>
      </c>
      <c r="F1020" s="87" t="s">
        <v>61</v>
      </c>
      <c r="G1020" s="87" t="s">
        <v>62</v>
      </c>
      <c r="H1020" s="90" t="s">
        <v>4591</v>
      </c>
      <c r="I1020" s="90" t="s">
        <v>128</v>
      </c>
      <c r="J1020" s="87" t="s">
        <v>173</v>
      </c>
      <c r="K1020" s="87"/>
      <c r="L1020" s="90" t="s">
        <v>4592</v>
      </c>
      <c r="M1020" s="91" t="s">
        <v>4593</v>
      </c>
      <c r="N1020" s="90" t="s">
        <v>4594</v>
      </c>
      <c r="O1020" s="90" t="str">
        <f>_xlfn.TEXTJOIN(", ",TRUE,$P1020:$T1020)</f>
        <v>Distrital</v>
      </c>
      <c r="P1020" s="87" t="s">
        <v>73</v>
      </c>
      <c r="Q1020" s="87"/>
      <c r="R1020" s="87"/>
      <c r="S1020" s="87"/>
      <c r="T1020" s="87"/>
      <c r="U1020" s="87"/>
      <c r="V1020" s="90" t="str">
        <f>_xlfn.TEXTJOIN(", ",TRUE,$W1020:$AB1020)</f>
        <v>Distrital</v>
      </c>
      <c r="W1020" s="87" t="s">
        <v>73</v>
      </c>
      <c r="X1020" s="87"/>
      <c r="Y1020" s="87"/>
      <c r="Z1020" s="87"/>
      <c r="AA1020" s="87"/>
      <c r="AB1020" s="87"/>
      <c r="AC1020" s="90" t="str">
        <f>_xlfn.TEXTJOIN(", ",TRUE,$AD1020:$AM1020)</f>
        <v>Distrital</v>
      </c>
      <c r="AD1020" s="87" t="s">
        <v>73</v>
      </c>
      <c r="AE1020" s="87"/>
      <c r="AF1020" s="87"/>
      <c r="AG1020" s="87"/>
      <c r="AH1020" s="87"/>
      <c r="AI1020" s="87"/>
      <c r="AJ1020" s="87"/>
      <c r="AK1020" s="87"/>
      <c r="AL1020" s="87"/>
      <c r="AM1020" s="87"/>
      <c r="AN1020" s="90" t="s">
        <v>80</v>
      </c>
      <c r="AO1020" s="90" t="s">
        <v>4595</v>
      </c>
      <c r="AP1020" s="82"/>
      <c r="AQ1020" s="87" t="s">
        <v>59</v>
      </c>
      <c r="AR1020" s="87" t="s">
        <v>80</v>
      </c>
      <c r="AS1020" s="82"/>
      <c r="AT1020" s="87">
        <v>13</v>
      </c>
      <c r="AU1020" s="87">
        <v>1</v>
      </c>
      <c r="AV1020" s="87">
        <f t="shared" si="218"/>
        <v>14</v>
      </c>
      <c r="AW1020" s="87" t="s">
        <v>184</v>
      </c>
      <c r="AX1020" s="87"/>
      <c r="AY1020" s="87"/>
      <c r="AZ1020" s="87"/>
      <c r="BA1020" s="91" t="s">
        <v>4596</v>
      </c>
      <c r="BB1020" s="84"/>
      <c r="BC1020" s="85"/>
      <c r="BD1020" s="85"/>
    </row>
    <row r="1021" spans="1:56" s="86" customFormat="1" ht="69" customHeight="1">
      <c r="A1021" s="87">
        <v>1016</v>
      </c>
      <c r="B1021" s="79" t="s">
        <v>4564</v>
      </c>
      <c r="C1021" s="88">
        <v>45561</v>
      </c>
      <c r="D1021" s="89">
        <v>0.375</v>
      </c>
      <c r="E1021" s="87" t="s">
        <v>353</v>
      </c>
      <c r="F1021" s="87" t="s">
        <v>2207</v>
      </c>
      <c r="G1021" s="87" t="s">
        <v>62</v>
      </c>
      <c r="H1021" s="90" t="s">
        <v>4565</v>
      </c>
      <c r="I1021" s="90" t="s">
        <v>188</v>
      </c>
      <c r="J1021" s="87" t="s">
        <v>173</v>
      </c>
      <c r="K1021" s="87"/>
      <c r="L1021" s="90"/>
      <c r="M1021" s="91"/>
      <c r="N1021" s="90"/>
      <c r="O1021" s="90"/>
      <c r="P1021" s="87" t="s">
        <v>73</v>
      </c>
      <c r="Q1021" s="87"/>
      <c r="R1021" s="87"/>
      <c r="S1021" s="87"/>
      <c r="T1021" s="87"/>
      <c r="U1021" s="87"/>
      <c r="V1021" s="90" t="str">
        <f>_xlfn.TEXTJOIN(", ",TRUE,$W1021:$AB1021)</f>
        <v>Distrital</v>
      </c>
      <c r="W1021" s="87" t="s">
        <v>73</v>
      </c>
      <c r="X1021" s="87"/>
      <c r="Y1021" s="87"/>
      <c r="Z1021" s="87"/>
      <c r="AA1021" s="87"/>
      <c r="AB1021" s="87"/>
      <c r="AC1021" s="90" t="str">
        <f>_xlfn.TEXTJOIN(", ",TRUE,$AD1021:$AM1021)</f>
        <v>Distrital</v>
      </c>
      <c r="AD1021" s="87" t="s">
        <v>73</v>
      </c>
      <c r="AE1021" s="87"/>
      <c r="AF1021" s="87"/>
      <c r="AG1021" s="87"/>
      <c r="AH1021" s="87"/>
      <c r="AI1021" s="87"/>
      <c r="AJ1021" s="87"/>
      <c r="AK1021" s="87"/>
      <c r="AL1021" s="87"/>
      <c r="AM1021" s="87"/>
      <c r="AN1021" s="90" t="s">
        <v>1629</v>
      </c>
      <c r="AO1021" s="90" t="s">
        <v>2210</v>
      </c>
      <c r="AP1021" s="82"/>
      <c r="AQ1021" s="87" t="s">
        <v>59</v>
      </c>
      <c r="AR1021" s="87" t="s">
        <v>80</v>
      </c>
      <c r="AS1021" s="82"/>
      <c r="AT1021" s="87">
        <v>30</v>
      </c>
      <c r="AU1021" s="87">
        <v>30</v>
      </c>
      <c r="AV1021" s="87">
        <f t="shared" si="218"/>
        <v>60</v>
      </c>
      <c r="AW1021" s="87" t="str">
        <f t="shared" ref="AW1021:AW1022" si="219">_xlfn.TEXTJOIN(", ",TRUE,$AX1021:$AZ1021)</f>
        <v>Lenguaje de señas</v>
      </c>
      <c r="AX1021" s="87" t="s">
        <v>211</v>
      </c>
      <c r="AY1021" s="87"/>
      <c r="AZ1021" s="87"/>
      <c r="BA1021" s="91" t="s">
        <v>4597</v>
      </c>
      <c r="BB1021" s="84"/>
      <c r="BC1021" s="85"/>
      <c r="BD1021" s="85"/>
    </row>
    <row r="1022" spans="1:56" s="86" customFormat="1" ht="57" customHeight="1">
      <c r="A1022" s="78">
        <v>1017</v>
      </c>
      <c r="B1022" s="79" t="s">
        <v>4598</v>
      </c>
      <c r="C1022" s="88">
        <v>45561</v>
      </c>
      <c r="D1022" s="89">
        <v>0.54166666666666663</v>
      </c>
      <c r="E1022" s="87" t="s">
        <v>353</v>
      </c>
      <c r="F1022" s="87" t="s">
        <v>135</v>
      </c>
      <c r="G1022" s="87" t="s">
        <v>62</v>
      </c>
      <c r="H1022" s="90" t="s">
        <v>4583</v>
      </c>
      <c r="I1022" s="90" t="s">
        <v>64</v>
      </c>
      <c r="J1022" s="87" t="s">
        <v>70</v>
      </c>
      <c r="K1022" s="87" t="s">
        <v>71</v>
      </c>
      <c r="L1022" s="90" t="s">
        <v>72</v>
      </c>
      <c r="M1022" s="91" t="s">
        <v>72</v>
      </c>
      <c r="N1022" s="90" t="s">
        <v>72</v>
      </c>
      <c r="O1022" s="90" t="s">
        <v>73</v>
      </c>
      <c r="P1022" s="87" t="s">
        <v>73</v>
      </c>
      <c r="Q1022" s="87"/>
      <c r="R1022" s="87"/>
      <c r="S1022" s="87"/>
      <c r="T1022" s="87"/>
      <c r="U1022" s="87"/>
      <c r="V1022" s="90" t="s">
        <v>73</v>
      </c>
      <c r="W1022" s="87" t="s">
        <v>73</v>
      </c>
      <c r="X1022" s="87"/>
      <c r="Y1022" s="87"/>
      <c r="Z1022" s="87"/>
      <c r="AA1022" s="87"/>
      <c r="AB1022" s="87"/>
      <c r="AC1022" s="90" t="s">
        <v>73</v>
      </c>
      <c r="AD1022" s="87" t="s">
        <v>73</v>
      </c>
      <c r="AE1022" s="87"/>
      <c r="AF1022" s="87"/>
      <c r="AG1022" s="87"/>
      <c r="AH1022" s="87"/>
      <c r="AI1022" s="87"/>
      <c r="AJ1022" s="87"/>
      <c r="AK1022" s="87"/>
      <c r="AL1022" s="87"/>
      <c r="AM1022" s="87"/>
      <c r="AN1022" s="90" t="s">
        <v>80</v>
      </c>
      <c r="AO1022" s="90" t="s">
        <v>4436</v>
      </c>
      <c r="AP1022" s="82"/>
      <c r="AQ1022" s="87" t="s">
        <v>59</v>
      </c>
      <c r="AR1022" s="87" t="s">
        <v>80</v>
      </c>
      <c r="AS1022" s="82"/>
      <c r="AT1022" s="87">
        <v>0</v>
      </c>
      <c r="AU1022" s="87">
        <v>11</v>
      </c>
      <c r="AV1022" s="87">
        <f t="shared" si="218"/>
        <v>11</v>
      </c>
      <c r="AW1022" s="87" t="str">
        <f t="shared" si="219"/>
        <v/>
      </c>
      <c r="AX1022" s="87"/>
      <c r="AY1022" s="87"/>
      <c r="AZ1022" s="87"/>
      <c r="BA1022" s="91" t="s">
        <v>4584</v>
      </c>
      <c r="BB1022" s="84"/>
      <c r="BC1022" s="85"/>
      <c r="BD1022" s="85"/>
    </row>
    <row r="1023" spans="1:56" s="86" customFormat="1" ht="57" customHeight="1">
      <c r="A1023" s="87">
        <v>1018</v>
      </c>
      <c r="B1023" s="79" t="s">
        <v>4599</v>
      </c>
      <c r="C1023" s="88">
        <v>45561</v>
      </c>
      <c r="D1023" s="89">
        <v>0.54166666666666663</v>
      </c>
      <c r="E1023" s="87" t="s">
        <v>353</v>
      </c>
      <c r="F1023" s="87" t="s">
        <v>135</v>
      </c>
      <c r="G1023" s="87" t="s">
        <v>62</v>
      </c>
      <c r="H1023" s="90" t="s">
        <v>4449</v>
      </c>
      <c r="I1023" s="90" t="s">
        <v>64</v>
      </c>
      <c r="J1023" s="87" t="s">
        <v>70</v>
      </c>
      <c r="K1023" s="87" t="s">
        <v>71</v>
      </c>
      <c r="L1023" s="90" t="s">
        <v>72</v>
      </c>
      <c r="M1023" s="91" t="s">
        <v>72</v>
      </c>
      <c r="N1023" s="90" t="s">
        <v>72</v>
      </c>
      <c r="O1023" s="90" t="s">
        <v>73</v>
      </c>
      <c r="P1023" s="87" t="s">
        <v>73</v>
      </c>
      <c r="Q1023" s="87"/>
      <c r="R1023" s="87"/>
      <c r="S1023" s="87"/>
      <c r="T1023" s="87"/>
      <c r="U1023" s="87"/>
      <c r="V1023" s="90" t="s">
        <v>73</v>
      </c>
      <c r="W1023" s="87" t="s">
        <v>73</v>
      </c>
      <c r="X1023" s="87"/>
      <c r="Y1023" s="87"/>
      <c r="Z1023" s="87"/>
      <c r="AA1023" s="87"/>
      <c r="AB1023" s="87"/>
      <c r="AC1023" s="90" t="s">
        <v>73</v>
      </c>
      <c r="AD1023" s="87" t="s">
        <v>73</v>
      </c>
      <c r="AE1023" s="87"/>
      <c r="AF1023" s="87"/>
      <c r="AG1023" s="87"/>
      <c r="AH1023" s="87"/>
      <c r="AI1023" s="87"/>
      <c r="AJ1023" s="87"/>
      <c r="AK1023" s="87"/>
      <c r="AL1023" s="87"/>
      <c r="AM1023" s="87"/>
      <c r="AN1023" s="90" t="s">
        <v>80</v>
      </c>
      <c r="AO1023" s="90" t="s">
        <v>4586</v>
      </c>
      <c r="AP1023" s="82"/>
      <c r="AQ1023" s="87" t="s">
        <v>59</v>
      </c>
      <c r="AR1023" s="87" t="s">
        <v>80</v>
      </c>
      <c r="AS1023" s="82"/>
      <c r="AT1023" s="87">
        <v>0</v>
      </c>
      <c r="AU1023" s="87">
        <v>7</v>
      </c>
      <c r="AV1023" s="87">
        <f t="shared" si="218"/>
        <v>7</v>
      </c>
      <c r="AW1023" s="87" t="s">
        <v>184</v>
      </c>
      <c r="AX1023" s="87"/>
      <c r="AY1023" s="87"/>
      <c r="AZ1023" s="87"/>
      <c r="BA1023" s="91" t="s">
        <v>4600</v>
      </c>
      <c r="BB1023" s="84"/>
      <c r="BC1023" s="85"/>
      <c r="BD1023" s="85"/>
    </row>
    <row r="1024" spans="1:56" s="86" customFormat="1" ht="57" customHeight="1">
      <c r="A1024" s="78">
        <v>1019</v>
      </c>
      <c r="B1024" s="79" t="s">
        <v>4601</v>
      </c>
      <c r="C1024" s="88">
        <v>45561</v>
      </c>
      <c r="D1024" s="89">
        <v>0.54166666666666663</v>
      </c>
      <c r="E1024" s="87" t="s">
        <v>353</v>
      </c>
      <c r="F1024" s="87" t="s">
        <v>135</v>
      </c>
      <c r="G1024" s="87" t="s">
        <v>62</v>
      </c>
      <c r="H1024" s="90" t="s">
        <v>4449</v>
      </c>
      <c r="I1024" s="90" t="s">
        <v>64</v>
      </c>
      <c r="J1024" s="87" t="s">
        <v>70</v>
      </c>
      <c r="K1024" s="87" t="s">
        <v>71</v>
      </c>
      <c r="L1024" s="90" t="s">
        <v>72</v>
      </c>
      <c r="M1024" s="91" t="s">
        <v>72</v>
      </c>
      <c r="N1024" s="90" t="s">
        <v>72</v>
      </c>
      <c r="O1024" s="90" t="s">
        <v>73</v>
      </c>
      <c r="P1024" s="87" t="s">
        <v>73</v>
      </c>
      <c r="Q1024" s="87"/>
      <c r="R1024" s="87"/>
      <c r="S1024" s="87"/>
      <c r="T1024" s="87"/>
      <c r="U1024" s="87"/>
      <c r="V1024" s="90" t="s">
        <v>73</v>
      </c>
      <c r="W1024" s="87" t="s">
        <v>73</v>
      </c>
      <c r="X1024" s="87"/>
      <c r="Y1024" s="87"/>
      <c r="Z1024" s="87"/>
      <c r="AA1024" s="87"/>
      <c r="AB1024" s="87"/>
      <c r="AC1024" s="90" t="s">
        <v>73</v>
      </c>
      <c r="AD1024" s="87" t="s">
        <v>73</v>
      </c>
      <c r="AE1024" s="87"/>
      <c r="AF1024" s="87"/>
      <c r="AG1024" s="87"/>
      <c r="AH1024" s="87"/>
      <c r="AI1024" s="87"/>
      <c r="AJ1024" s="87"/>
      <c r="AK1024" s="87"/>
      <c r="AL1024" s="87"/>
      <c r="AM1024" s="87"/>
      <c r="AN1024" s="90" t="s">
        <v>80</v>
      </c>
      <c r="AO1024" s="90" t="s">
        <v>4436</v>
      </c>
      <c r="AP1024" s="82"/>
      <c r="AQ1024" s="87" t="s">
        <v>59</v>
      </c>
      <c r="AR1024" s="87" t="s">
        <v>80</v>
      </c>
      <c r="AS1024" s="82"/>
      <c r="AT1024" s="87">
        <v>0</v>
      </c>
      <c r="AU1024" s="87">
        <v>6</v>
      </c>
      <c r="AV1024" s="87">
        <f t="shared" ref="AV1024" si="220">AT1024+AU1024</f>
        <v>6</v>
      </c>
      <c r="AW1024" s="87" t="s">
        <v>184</v>
      </c>
      <c r="AX1024" s="87"/>
      <c r="AY1024" s="87"/>
      <c r="AZ1024" s="87"/>
      <c r="BA1024" s="91" t="s">
        <v>4602</v>
      </c>
      <c r="BB1024" s="84"/>
      <c r="BC1024" s="85"/>
      <c r="BD1024" s="85"/>
    </row>
    <row r="1025" spans="1:56" s="86" customFormat="1" ht="57" customHeight="1">
      <c r="A1025" s="87">
        <v>1020</v>
      </c>
      <c r="B1025" s="79" t="s">
        <v>4575</v>
      </c>
      <c r="C1025" s="88">
        <v>45561</v>
      </c>
      <c r="D1025" s="89">
        <v>0.58333333333333337</v>
      </c>
      <c r="E1025" s="87" t="s">
        <v>353</v>
      </c>
      <c r="F1025" s="87" t="s">
        <v>2207</v>
      </c>
      <c r="G1025" s="87" t="s">
        <v>62</v>
      </c>
      <c r="H1025" s="90" t="s">
        <v>4565</v>
      </c>
      <c r="I1025" s="90" t="s">
        <v>188</v>
      </c>
      <c r="J1025" s="87" t="s">
        <v>173</v>
      </c>
      <c r="K1025" s="87"/>
      <c r="L1025" s="90"/>
      <c r="M1025" s="91"/>
      <c r="N1025" s="90"/>
      <c r="O1025" s="90"/>
      <c r="P1025" s="87" t="s">
        <v>73</v>
      </c>
      <c r="Q1025" s="87"/>
      <c r="R1025" s="87"/>
      <c r="S1025" s="87"/>
      <c r="T1025" s="87"/>
      <c r="U1025" s="87"/>
      <c r="V1025" s="90" t="str">
        <f t="shared" si="137"/>
        <v>Distrital</v>
      </c>
      <c r="W1025" s="87" t="s">
        <v>73</v>
      </c>
      <c r="X1025" s="87"/>
      <c r="Y1025" s="87"/>
      <c r="Z1025" s="87"/>
      <c r="AA1025" s="87"/>
      <c r="AB1025" s="87"/>
      <c r="AC1025" s="90" t="str">
        <f t="shared" si="138"/>
        <v>Distrital</v>
      </c>
      <c r="AD1025" s="87" t="s">
        <v>73</v>
      </c>
      <c r="AE1025" s="87"/>
      <c r="AF1025" s="87"/>
      <c r="AG1025" s="87"/>
      <c r="AH1025" s="87"/>
      <c r="AI1025" s="87"/>
      <c r="AJ1025" s="87"/>
      <c r="AK1025" s="87"/>
      <c r="AL1025" s="87"/>
      <c r="AM1025" s="87"/>
      <c r="AN1025" s="90" t="s">
        <v>1629</v>
      </c>
      <c r="AO1025" s="90" t="s">
        <v>2210</v>
      </c>
      <c r="AP1025" s="82"/>
      <c r="AQ1025" s="87" t="s">
        <v>59</v>
      </c>
      <c r="AR1025" s="87" t="s">
        <v>80</v>
      </c>
      <c r="AS1025" s="82"/>
      <c r="AT1025" s="87">
        <v>5</v>
      </c>
      <c r="AU1025" s="87">
        <v>18</v>
      </c>
      <c r="AV1025" s="87">
        <f t="shared" si="214"/>
        <v>23</v>
      </c>
      <c r="AW1025" s="87" t="str">
        <f t="shared" ref="AW1025:AW1028" si="221">_xlfn.TEXTJOIN(", ",TRUE,$AX1025:$AZ1025)</f>
        <v>Lenguaje de señas</v>
      </c>
      <c r="AX1025" s="87" t="s">
        <v>211</v>
      </c>
      <c r="AY1025" s="87"/>
      <c r="AZ1025" s="87"/>
      <c r="BA1025" s="91" t="s">
        <v>4597</v>
      </c>
      <c r="BB1025" s="84"/>
      <c r="BC1025" s="85"/>
      <c r="BD1025" s="85"/>
    </row>
    <row r="1026" spans="1:56" s="86" customFormat="1" ht="57" customHeight="1">
      <c r="A1026" s="78">
        <v>1021</v>
      </c>
      <c r="B1026" s="79" t="s">
        <v>4603</v>
      </c>
      <c r="C1026" s="88">
        <v>45562</v>
      </c>
      <c r="D1026" s="89">
        <v>0.33333333333333331</v>
      </c>
      <c r="E1026" s="87" t="s">
        <v>58</v>
      </c>
      <c r="F1026" s="87" t="s">
        <v>1184</v>
      </c>
      <c r="G1026" s="87" t="s">
        <v>62</v>
      </c>
      <c r="H1026" s="90" t="s">
        <v>4604</v>
      </c>
      <c r="I1026" s="90" t="s">
        <v>188</v>
      </c>
      <c r="J1026" s="87" t="s">
        <v>70</v>
      </c>
      <c r="K1026" s="87" t="s">
        <v>71</v>
      </c>
      <c r="L1026" s="90" t="s">
        <v>2738</v>
      </c>
      <c r="M1026" s="91" t="s">
        <v>72</v>
      </c>
      <c r="N1026" s="90" t="s">
        <v>2560</v>
      </c>
      <c r="O1026" s="90" t="str">
        <f t="shared" si="133"/>
        <v>San Cristóbal</v>
      </c>
      <c r="P1026" s="87" t="s">
        <v>370</v>
      </c>
      <c r="Q1026" s="87"/>
      <c r="R1026" s="87"/>
      <c r="S1026" s="87"/>
      <c r="T1026" s="87"/>
      <c r="U1026" s="87"/>
      <c r="V1026" s="90" t="str">
        <f>_xlfn.TEXTJOIN(", ",TRUE,$W1026:$AB1026)</f>
        <v>Suroriente</v>
      </c>
      <c r="W1026" s="87" t="s">
        <v>108</v>
      </c>
      <c r="X1026" s="87"/>
      <c r="Y1026" s="87"/>
      <c r="Z1026" s="87"/>
      <c r="AA1026" s="87"/>
      <c r="AB1026" s="87"/>
      <c r="AC1026" s="90" t="str">
        <f>_xlfn.TEXTJOIN(", ",TRUE,$AD1026:$AM1026)</f>
        <v>San Cristobal</v>
      </c>
      <c r="AD1026" s="87" t="s">
        <v>371</v>
      </c>
      <c r="AE1026" s="87"/>
      <c r="AF1026" s="87"/>
      <c r="AG1026" s="87"/>
      <c r="AH1026" s="87"/>
      <c r="AI1026" s="87"/>
      <c r="AJ1026" s="87"/>
      <c r="AK1026" s="87"/>
      <c r="AL1026" s="87"/>
      <c r="AM1026" s="87"/>
      <c r="AN1026" s="90" t="s">
        <v>4605</v>
      </c>
      <c r="AO1026" s="90" t="s">
        <v>4606</v>
      </c>
      <c r="AP1026" s="82"/>
      <c r="AQ1026" s="87" t="s">
        <v>59</v>
      </c>
      <c r="AR1026" s="87" t="s">
        <v>80</v>
      </c>
      <c r="AS1026" s="82"/>
      <c r="AT1026" s="87">
        <v>17</v>
      </c>
      <c r="AU1026" s="87">
        <v>7</v>
      </c>
      <c r="AV1026" s="87">
        <f>AT1026+AU1026</f>
        <v>24</v>
      </c>
      <c r="AW1026" s="87" t="str">
        <f t="shared" si="221"/>
        <v>Ninguna</v>
      </c>
      <c r="AX1026" s="87" t="s">
        <v>75</v>
      </c>
      <c r="AY1026" s="87"/>
      <c r="AZ1026" s="87"/>
      <c r="BA1026" s="91" t="s">
        <v>4607</v>
      </c>
      <c r="BB1026" s="84"/>
      <c r="BC1026" s="85"/>
      <c r="BD1026" s="85"/>
    </row>
    <row r="1027" spans="1:56" s="86" customFormat="1" ht="57" customHeight="1">
      <c r="A1027" s="87">
        <v>1022</v>
      </c>
      <c r="B1027" s="79" t="s">
        <v>4564</v>
      </c>
      <c r="C1027" s="88">
        <v>45562</v>
      </c>
      <c r="D1027" s="89">
        <v>0.375</v>
      </c>
      <c r="E1027" s="87" t="s">
        <v>353</v>
      </c>
      <c r="F1027" s="87" t="s">
        <v>2207</v>
      </c>
      <c r="G1027" s="87" t="s">
        <v>62</v>
      </c>
      <c r="H1027" s="90" t="s">
        <v>4565</v>
      </c>
      <c r="I1027" s="90" t="s">
        <v>188</v>
      </c>
      <c r="J1027" s="87" t="s">
        <v>173</v>
      </c>
      <c r="K1027" s="87"/>
      <c r="L1027" s="90"/>
      <c r="M1027" s="91"/>
      <c r="N1027" s="90"/>
      <c r="O1027" s="90"/>
      <c r="P1027" s="87" t="s">
        <v>73</v>
      </c>
      <c r="Q1027" s="87"/>
      <c r="R1027" s="87"/>
      <c r="S1027" s="87"/>
      <c r="T1027" s="87"/>
      <c r="U1027" s="87"/>
      <c r="V1027" s="90" t="str">
        <f t="shared" si="137"/>
        <v>Distrital</v>
      </c>
      <c r="W1027" s="87" t="s">
        <v>73</v>
      </c>
      <c r="X1027" s="87"/>
      <c r="Y1027" s="87"/>
      <c r="Z1027" s="87"/>
      <c r="AA1027" s="87"/>
      <c r="AB1027" s="87"/>
      <c r="AC1027" s="90" t="str">
        <f t="shared" si="138"/>
        <v>Distrital</v>
      </c>
      <c r="AD1027" s="87" t="s">
        <v>73</v>
      </c>
      <c r="AE1027" s="87"/>
      <c r="AF1027" s="87"/>
      <c r="AG1027" s="87"/>
      <c r="AH1027" s="87"/>
      <c r="AI1027" s="87"/>
      <c r="AJ1027" s="87"/>
      <c r="AK1027" s="87"/>
      <c r="AL1027" s="87"/>
      <c r="AM1027" s="87"/>
      <c r="AN1027" s="90" t="s">
        <v>1629</v>
      </c>
      <c r="AO1027" s="90" t="s">
        <v>2210</v>
      </c>
      <c r="AP1027" s="82"/>
      <c r="AQ1027" s="87" t="s">
        <v>59</v>
      </c>
      <c r="AR1027" s="87" t="s">
        <v>80</v>
      </c>
      <c r="AS1027" s="82"/>
      <c r="AT1027" s="87">
        <v>20</v>
      </c>
      <c r="AU1027" s="87">
        <v>20</v>
      </c>
      <c r="AV1027" s="87">
        <f t="shared" si="214"/>
        <v>40</v>
      </c>
      <c r="AW1027" s="87" t="str">
        <f t="shared" si="221"/>
        <v>Accesibilidad Universal</v>
      </c>
      <c r="AX1027" s="87" t="s">
        <v>246</v>
      </c>
      <c r="AY1027" s="87"/>
      <c r="AZ1027" s="87"/>
      <c r="BA1027" s="91" t="s">
        <v>4608</v>
      </c>
      <c r="BB1027" s="84"/>
      <c r="BC1027" s="85"/>
      <c r="BD1027" s="85"/>
    </row>
    <row r="1028" spans="1:56" s="86" customFormat="1" ht="57" customHeight="1">
      <c r="A1028" s="78">
        <v>1023</v>
      </c>
      <c r="B1028" s="79" t="s">
        <v>4609</v>
      </c>
      <c r="C1028" s="88">
        <v>45562</v>
      </c>
      <c r="D1028" s="89">
        <v>0.375</v>
      </c>
      <c r="E1028" s="87" t="s">
        <v>58</v>
      </c>
      <c r="F1028" s="87" t="s">
        <v>1769</v>
      </c>
      <c r="G1028" s="87" t="s">
        <v>62</v>
      </c>
      <c r="H1028" s="90" t="s">
        <v>4610</v>
      </c>
      <c r="I1028" s="90" t="s">
        <v>128</v>
      </c>
      <c r="J1028" s="87" t="s">
        <v>70</v>
      </c>
      <c r="K1028" s="87"/>
      <c r="L1028" s="90" t="s">
        <v>4611</v>
      </c>
      <c r="M1028" s="91">
        <v>3166281026</v>
      </c>
      <c r="N1028" s="90" t="s">
        <v>4612</v>
      </c>
      <c r="O1028" s="90" t="str">
        <f>_xlfn.TEXTJOIN(", ",TRUE,$P1028:$T1028)</f>
        <v>Sumapaz</v>
      </c>
      <c r="P1028" s="87" t="s">
        <v>327</v>
      </c>
      <c r="Q1028" s="87"/>
      <c r="R1028" s="87"/>
      <c r="S1028" s="87"/>
      <c r="T1028" s="87"/>
      <c r="U1028" s="87"/>
      <c r="V1028" s="90" t="str">
        <f>_xlfn.TEXTJOIN(", ",TRUE,$W1028:$AB1028)</f>
        <v>Ruralidad</v>
      </c>
      <c r="W1028" s="87" t="s">
        <v>109</v>
      </c>
      <c r="X1028" s="87"/>
      <c r="Y1028" s="87"/>
      <c r="Z1028" s="87"/>
      <c r="AA1028" s="87"/>
      <c r="AB1028" s="87"/>
      <c r="AC1028" s="90" t="str">
        <f>_xlfn.TEXTJOIN(", ",TRUE,$AD1028:$AM1028)</f>
        <v>Sumapaz</v>
      </c>
      <c r="AD1028" s="87" t="s">
        <v>327</v>
      </c>
      <c r="AE1028" s="87"/>
      <c r="AF1028" s="87"/>
      <c r="AG1028" s="87"/>
      <c r="AH1028" s="87"/>
      <c r="AI1028" s="87"/>
      <c r="AJ1028" s="87"/>
      <c r="AK1028" s="87"/>
      <c r="AL1028" s="87"/>
      <c r="AM1028" s="87"/>
      <c r="AN1028" s="90" t="s">
        <v>1629</v>
      </c>
      <c r="AO1028" s="90" t="s">
        <v>4613</v>
      </c>
      <c r="AP1028" s="82"/>
      <c r="AQ1028" s="87" t="s">
        <v>59</v>
      </c>
      <c r="AR1028" s="87" t="s">
        <v>80</v>
      </c>
      <c r="AS1028" s="82"/>
      <c r="AT1028" s="87">
        <v>24</v>
      </c>
      <c r="AU1028" s="87">
        <v>9</v>
      </c>
      <c r="AV1028" s="87">
        <f>AT1028+AU1028</f>
        <v>33</v>
      </c>
      <c r="AW1028" s="87" t="str">
        <f t="shared" si="221"/>
        <v>Horarios Acordes, Contenidos adaptados</v>
      </c>
      <c r="AX1028" s="87" t="s">
        <v>213</v>
      </c>
      <c r="AY1028" s="87" t="s">
        <v>212</v>
      </c>
      <c r="AZ1028" s="87"/>
      <c r="BA1028" s="91" t="s">
        <v>4614</v>
      </c>
      <c r="BB1028" s="84"/>
      <c r="BC1028" s="85"/>
      <c r="BD1028" s="85"/>
    </row>
    <row r="1029" spans="1:56" s="86" customFormat="1" ht="57" customHeight="1">
      <c r="A1029" s="87">
        <v>1024</v>
      </c>
      <c r="B1029" s="79" t="s">
        <v>4615</v>
      </c>
      <c r="C1029" s="88">
        <v>45562</v>
      </c>
      <c r="D1029" s="89">
        <v>0.375</v>
      </c>
      <c r="E1029" s="87" t="s">
        <v>58</v>
      </c>
      <c r="F1029" s="87" t="s">
        <v>61</v>
      </c>
      <c r="G1029" s="87" t="s">
        <v>62</v>
      </c>
      <c r="H1029" s="90" t="s">
        <v>4616</v>
      </c>
      <c r="I1029" s="90" t="s">
        <v>128</v>
      </c>
      <c r="J1029" s="87" t="s">
        <v>119</v>
      </c>
      <c r="K1029" s="87" t="s">
        <v>2330</v>
      </c>
      <c r="L1029" s="90" t="s">
        <v>4529</v>
      </c>
      <c r="M1029" s="91" t="s">
        <v>4530</v>
      </c>
      <c r="N1029" s="90" t="s">
        <v>4531</v>
      </c>
      <c r="O1029" s="90" t="str">
        <f t="shared" si="133"/>
        <v>Distrital</v>
      </c>
      <c r="P1029" s="87" t="s">
        <v>73</v>
      </c>
      <c r="Q1029" s="87"/>
      <c r="R1029" s="87"/>
      <c r="S1029" s="87"/>
      <c r="T1029" s="87"/>
      <c r="U1029" s="87"/>
      <c r="V1029" s="90" t="str">
        <f t="shared" si="137"/>
        <v>Distrital</v>
      </c>
      <c r="W1029" s="87" t="s">
        <v>73</v>
      </c>
      <c r="X1029" s="87"/>
      <c r="Y1029" s="87"/>
      <c r="Z1029" s="87"/>
      <c r="AA1029" s="87"/>
      <c r="AB1029" s="87"/>
      <c r="AC1029" s="90" t="str">
        <f t="shared" si="138"/>
        <v>Distrital</v>
      </c>
      <c r="AD1029" s="87" t="s">
        <v>73</v>
      </c>
      <c r="AE1029" s="87"/>
      <c r="AF1029" s="87"/>
      <c r="AG1029" s="87"/>
      <c r="AH1029" s="87"/>
      <c r="AI1029" s="87"/>
      <c r="AJ1029" s="87"/>
      <c r="AK1029" s="87"/>
      <c r="AL1029" s="87"/>
      <c r="AM1029" s="87"/>
      <c r="AN1029" s="90" t="s">
        <v>1629</v>
      </c>
      <c r="AO1029" s="90" t="s">
        <v>4617</v>
      </c>
      <c r="AP1029" s="82"/>
      <c r="AQ1029" s="87" t="s">
        <v>60</v>
      </c>
      <c r="AR1029" s="87" t="s">
        <v>2854</v>
      </c>
      <c r="AS1029" s="82"/>
      <c r="AT1029" s="87">
        <v>24</v>
      </c>
      <c r="AU1029" s="87">
        <v>9</v>
      </c>
      <c r="AV1029" s="87">
        <f t="shared" ref="AV1029" si="222">AT1029+AU1029</f>
        <v>33</v>
      </c>
      <c r="AW1029" s="87" t="str">
        <f>_xlfn.TEXTJOIN(", ",TRUE,$AX1029:$AZ1029)</f>
        <v>Ninguna</v>
      </c>
      <c r="AX1029" s="87" t="s">
        <v>75</v>
      </c>
      <c r="AY1029" s="87"/>
      <c r="AZ1029" s="87"/>
      <c r="BA1029" s="91" t="s">
        <v>4618</v>
      </c>
      <c r="BB1029" s="84"/>
      <c r="BC1029" s="85"/>
      <c r="BD1029" s="85"/>
    </row>
    <row r="1030" spans="1:56" s="86" customFormat="1" ht="57" customHeight="1">
      <c r="A1030" s="78">
        <v>1025</v>
      </c>
      <c r="B1030" s="79" t="s">
        <v>4575</v>
      </c>
      <c r="C1030" s="88">
        <v>45562</v>
      </c>
      <c r="D1030" s="89">
        <v>0.58333333333333337</v>
      </c>
      <c r="E1030" s="87" t="s">
        <v>353</v>
      </c>
      <c r="F1030" s="87" t="s">
        <v>2207</v>
      </c>
      <c r="G1030" s="87" t="s">
        <v>62</v>
      </c>
      <c r="H1030" s="90" t="s">
        <v>4565</v>
      </c>
      <c r="I1030" s="90" t="s">
        <v>188</v>
      </c>
      <c r="J1030" s="87" t="s">
        <v>173</v>
      </c>
      <c r="K1030" s="87"/>
      <c r="L1030" s="90"/>
      <c r="M1030" s="91"/>
      <c r="N1030" s="90"/>
      <c r="O1030" s="90" t="str">
        <f t="shared" si="133"/>
        <v>Distrital</v>
      </c>
      <c r="P1030" s="87" t="s">
        <v>73</v>
      </c>
      <c r="Q1030" s="87"/>
      <c r="R1030" s="87"/>
      <c r="S1030" s="87"/>
      <c r="T1030" s="87"/>
      <c r="U1030" s="87"/>
      <c r="V1030" s="90" t="str">
        <f t="shared" si="137"/>
        <v>Distrital</v>
      </c>
      <c r="W1030" s="87" t="s">
        <v>73</v>
      </c>
      <c r="X1030" s="87"/>
      <c r="Y1030" s="87"/>
      <c r="Z1030" s="87"/>
      <c r="AA1030" s="87"/>
      <c r="AB1030" s="87"/>
      <c r="AC1030" s="90" t="str">
        <f t="shared" si="138"/>
        <v>Distrital</v>
      </c>
      <c r="AD1030" s="87" t="s">
        <v>73</v>
      </c>
      <c r="AE1030" s="87"/>
      <c r="AF1030" s="87"/>
      <c r="AG1030" s="87"/>
      <c r="AH1030" s="87"/>
      <c r="AI1030" s="87"/>
      <c r="AJ1030" s="87"/>
      <c r="AK1030" s="87"/>
      <c r="AL1030" s="87"/>
      <c r="AM1030" s="87"/>
      <c r="AN1030" s="90" t="s">
        <v>1629</v>
      </c>
      <c r="AO1030" s="90" t="s">
        <v>2210</v>
      </c>
      <c r="AP1030" s="82"/>
      <c r="AQ1030" s="87" t="s">
        <v>59</v>
      </c>
      <c r="AR1030" s="87" t="s">
        <v>80</v>
      </c>
      <c r="AS1030" s="82"/>
      <c r="AT1030" s="87">
        <v>30</v>
      </c>
      <c r="AU1030" s="87">
        <v>30</v>
      </c>
      <c r="AV1030" s="87">
        <f t="shared" si="214"/>
        <v>60</v>
      </c>
      <c r="AW1030" s="87" t="str">
        <f t="shared" ref="AW1030:AW1034" si="223">_xlfn.TEXTJOIN(", ",TRUE,$AX1030:$AZ1030)</f>
        <v>Accesibilidad Universal</v>
      </c>
      <c r="AX1030" s="87" t="s">
        <v>246</v>
      </c>
      <c r="AY1030" s="87"/>
      <c r="AZ1030" s="87"/>
      <c r="BA1030" s="91" t="s">
        <v>4614</v>
      </c>
      <c r="BB1030" s="84"/>
      <c r="BC1030" s="85"/>
      <c r="BD1030" s="85"/>
    </row>
    <row r="1031" spans="1:56" s="86" customFormat="1" ht="57" customHeight="1">
      <c r="A1031" s="87">
        <v>1026</v>
      </c>
      <c r="B1031" s="79" t="s">
        <v>4620</v>
      </c>
      <c r="C1031" s="88">
        <v>45562</v>
      </c>
      <c r="D1031" s="89">
        <v>0.6875</v>
      </c>
      <c r="E1031" s="87" t="s">
        <v>58</v>
      </c>
      <c r="F1031" s="87" t="s">
        <v>61</v>
      </c>
      <c r="G1031" s="87" t="s">
        <v>95</v>
      </c>
      <c r="H1031" s="90" t="s">
        <v>4621</v>
      </c>
      <c r="I1031" s="90" t="s">
        <v>118</v>
      </c>
      <c r="J1031" s="87" t="s">
        <v>70</v>
      </c>
      <c r="K1031" s="87" t="s">
        <v>71</v>
      </c>
      <c r="L1031" s="90" t="s">
        <v>4622</v>
      </c>
      <c r="M1031" s="91" t="s">
        <v>4623</v>
      </c>
      <c r="N1031" s="90" t="s">
        <v>4624</v>
      </c>
      <c r="O1031" s="90" t="str">
        <f t="shared" si="133"/>
        <v>Distrital</v>
      </c>
      <c r="P1031" s="87" t="s">
        <v>73</v>
      </c>
      <c r="Q1031" s="87"/>
      <c r="R1031" s="87"/>
      <c r="S1031" s="87"/>
      <c r="T1031" s="87"/>
      <c r="U1031" s="87"/>
      <c r="V1031" s="90" t="str">
        <f t="shared" si="137"/>
        <v>Distrital</v>
      </c>
      <c r="W1031" s="87" t="s">
        <v>73</v>
      </c>
      <c r="X1031" s="87"/>
      <c r="Y1031" s="87"/>
      <c r="Z1031" s="87"/>
      <c r="AA1031" s="87"/>
      <c r="AB1031" s="87"/>
      <c r="AC1031" s="90" t="str">
        <f t="shared" si="138"/>
        <v>Distrital</v>
      </c>
      <c r="AD1031" s="87" t="s">
        <v>73</v>
      </c>
      <c r="AE1031" s="87"/>
      <c r="AF1031" s="87"/>
      <c r="AG1031" s="87"/>
      <c r="AH1031" s="87"/>
      <c r="AI1031" s="87"/>
      <c r="AJ1031" s="87"/>
      <c r="AK1031" s="87"/>
      <c r="AL1031" s="87"/>
      <c r="AM1031" s="87"/>
      <c r="AN1031" s="90" t="s">
        <v>80</v>
      </c>
      <c r="AO1031" s="102" t="s">
        <v>2667</v>
      </c>
      <c r="AP1031" s="82"/>
      <c r="AQ1031" s="87" t="s">
        <v>59</v>
      </c>
      <c r="AR1031" s="87" t="s">
        <v>80</v>
      </c>
      <c r="AS1031" s="82"/>
      <c r="AT1031" s="87">
        <v>2</v>
      </c>
      <c r="AU1031" s="87">
        <v>1</v>
      </c>
      <c r="AV1031" s="87">
        <f t="shared" si="214"/>
        <v>3</v>
      </c>
      <c r="AW1031" s="87" t="str">
        <f t="shared" si="223"/>
        <v>Ninguna</v>
      </c>
      <c r="AX1031" s="87" t="s">
        <v>75</v>
      </c>
      <c r="AY1031" s="87"/>
      <c r="AZ1031" s="87"/>
      <c r="BA1031" s="91" t="s">
        <v>4625</v>
      </c>
      <c r="BB1031" s="84"/>
      <c r="BC1031" s="85"/>
      <c r="BD1031" s="85"/>
    </row>
    <row r="1032" spans="1:56" s="86" customFormat="1" ht="83.25" customHeight="1">
      <c r="A1032" s="78">
        <v>1027</v>
      </c>
      <c r="B1032" s="79" t="s">
        <v>4626</v>
      </c>
      <c r="C1032" s="88">
        <v>45563</v>
      </c>
      <c r="D1032" s="89">
        <v>0.33333333333333331</v>
      </c>
      <c r="E1032" s="87" t="s">
        <v>58</v>
      </c>
      <c r="F1032" s="87" t="s">
        <v>61</v>
      </c>
      <c r="G1032" s="87" t="s">
        <v>62</v>
      </c>
      <c r="H1032" s="90" t="s">
        <v>3243</v>
      </c>
      <c r="I1032" s="90" t="s">
        <v>128</v>
      </c>
      <c r="J1032" s="87" t="s">
        <v>173</v>
      </c>
      <c r="K1032" s="87"/>
      <c r="L1032" s="90" t="s">
        <v>72</v>
      </c>
      <c r="M1032" s="90" t="s">
        <v>72</v>
      </c>
      <c r="N1032" s="90" t="s">
        <v>72</v>
      </c>
      <c r="O1032" s="90" t="str">
        <f t="shared" si="133"/>
        <v>Barrios Unidos</v>
      </c>
      <c r="P1032" s="87" t="s">
        <v>686</v>
      </c>
      <c r="Q1032" s="87"/>
      <c r="R1032" s="87"/>
      <c r="S1032" s="87"/>
      <c r="T1032" s="87"/>
      <c r="U1032" s="87"/>
      <c r="V1032" s="90" t="str">
        <f t="shared" si="137"/>
        <v>Occidente</v>
      </c>
      <c r="W1032" s="87" t="s">
        <v>124</v>
      </c>
      <c r="X1032" s="87"/>
      <c r="Y1032" s="87"/>
      <c r="Z1032" s="87"/>
      <c r="AA1032" s="87"/>
      <c r="AB1032" s="87"/>
      <c r="AC1032" s="90" t="str">
        <f t="shared" si="138"/>
        <v>Fontibón, Salitre, Tabora, Engativá</v>
      </c>
      <c r="AD1032" s="87" t="s">
        <v>420</v>
      </c>
      <c r="AE1032" s="87" t="s">
        <v>258</v>
      </c>
      <c r="AF1032" s="87" t="s">
        <v>257</v>
      </c>
      <c r="AG1032" s="87" t="s">
        <v>123</v>
      </c>
      <c r="AH1032" s="87"/>
      <c r="AI1032" s="87"/>
      <c r="AJ1032" s="87"/>
      <c r="AK1032" s="87"/>
      <c r="AL1032" s="87"/>
      <c r="AM1032" s="87"/>
      <c r="AN1032" s="90" t="s">
        <v>124</v>
      </c>
      <c r="AO1032" s="90" t="s">
        <v>4628</v>
      </c>
      <c r="AP1032" s="82"/>
      <c r="AQ1032" s="87" t="s">
        <v>60</v>
      </c>
      <c r="AR1032" s="87" t="s">
        <v>2854</v>
      </c>
      <c r="AS1032" s="82"/>
      <c r="AT1032" s="87">
        <v>51</v>
      </c>
      <c r="AU1032" s="87">
        <v>19</v>
      </c>
      <c r="AV1032" s="87">
        <f t="shared" si="174"/>
        <v>70</v>
      </c>
      <c r="AW1032" s="87" t="str">
        <f t="shared" si="223"/>
        <v>Contenidos adaptados</v>
      </c>
      <c r="AX1032" s="87" t="s">
        <v>212</v>
      </c>
      <c r="AY1032" s="87"/>
      <c r="AZ1032" s="87"/>
      <c r="BA1032" s="91" t="s">
        <v>4629</v>
      </c>
      <c r="BB1032" s="84"/>
      <c r="BC1032" s="85"/>
      <c r="BD1032" s="85"/>
    </row>
    <row r="1033" spans="1:56" s="86" customFormat="1" ht="69" customHeight="1">
      <c r="A1033" s="87">
        <v>1028</v>
      </c>
      <c r="B1033" s="79" t="s">
        <v>4630</v>
      </c>
      <c r="C1033" s="88">
        <v>45563</v>
      </c>
      <c r="D1033" s="89">
        <v>0.375</v>
      </c>
      <c r="E1033" s="87" t="s">
        <v>58</v>
      </c>
      <c r="F1033" s="87" t="s">
        <v>61</v>
      </c>
      <c r="G1033" s="87" t="s">
        <v>62</v>
      </c>
      <c r="H1033" s="90" t="s">
        <v>3243</v>
      </c>
      <c r="I1033" s="90" t="s">
        <v>128</v>
      </c>
      <c r="J1033" s="87" t="s">
        <v>173</v>
      </c>
      <c r="K1033" s="87"/>
      <c r="L1033" s="90" t="s">
        <v>72</v>
      </c>
      <c r="M1033" s="90" t="s">
        <v>72</v>
      </c>
      <c r="N1033" s="90" t="s">
        <v>72</v>
      </c>
      <c r="O1033" s="90" t="str">
        <f>_xlfn.TEXTJOIN(", ",TRUE,$P1033:$T1033)</f>
        <v>Sumapaz</v>
      </c>
      <c r="P1033" s="87" t="s">
        <v>327</v>
      </c>
      <c r="Q1033" s="87"/>
      <c r="R1033" s="87"/>
      <c r="S1033" s="87"/>
      <c r="T1033" s="87"/>
      <c r="U1033" s="87"/>
      <c r="V1033" s="90" t="str">
        <f>_xlfn.TEXTJOIN(", ",TRUE,$W1033:$AB1033)</f>
        <v>Ruralidad</v>
      </c>
      <c r="W1033" s="87" t="s">
        <v>109</v>
      </c>
      <c r="X1033" s="87"/>
      <c r="Y1033" s="87"/>
      <c r="Z1033" s="87"/>
      <c r="AA1033" s="87"/>
      <c r="AB1033" s="87"/>
      <c r="AC1033" s="90" t="str">
        <f>_xlfn.TEXTJOIN(", ",TRUE,$AD1033:$AM1033)</f>
        <v>Sumapaz</v>
      </c>
      <c r="AD1033" s="87" t="s">
        <v>327</v>
      </c>
      <c r="AE1033" s="87"/>
      <c r="AF1033" s="87"/>
      <c r="AG1033" s="87"/>
      <c r="AH1033" s="87"/>
      <c r="AI1033" s="87"/>
      <c r="AJ1033" s="87"/>
      <c r="AK1033" s="87"/>
      <c r="AL1033" s="87"/>
      <c r="AM1033" s="87"/>
      <c r="AN1033" s="90" t="s">
        <v>160</v>
      </c>
      <c r="AO1033" s="90" t="s">
        <v>4631</v>
      </c>
      <c r="AP1033" s="82"/>
      <c r="AQ1033" s="87" t="s">
        <v>60</v>
      </c>
      <c r="AR1033" s="87" t="s">
        <v>2854</v>
      </c>
      <c r="AS1033" s="82"/>
      <c r="AT1033" s="87">
        <v>23</v>
      </c>
      <c r="AU1033" s="87">
        <v>9</v>
      </c>
      <c r="AV1033" s="87">
        <f>AT1033+AU1033</f>
        <v>32</v>
      </c>
      <c r="AW1033" s="87" t="str">
        <f t="shared" si="223"/>
        <v>Horarios Acordes, Contenidos adaptados</v>
      </c>
      <c r="AX1033" s="87" t="s">
        <v>213</v>
      </c>
      <c r="AY1033" s="87" t="s">
        <v>212</v>
      </c>
      <c r="AZ1033" s="87"/>
      <c r="BA1033" s="91" t="s">
        <v>4632</v>
      </c>
      <c r="BB1033" s="84"/>
      <c r="BC1033" s="85"/>
      <c r="BD1033" s="85"/>
    </row>
    <row r="1034" spans="1:56" s="86" customFormat="1" ht="79.5" customHeight="1">
      <c r="A1034" s="78">
        <v>1029</v>
      </c>
      <c r="B1034" s="79" t="s">
        <v>4633</v>
      </c>
      <c r="C1034" s="88">
        <v>45564</v>
      </c>
      <c r="D1034" s="89">
        <v>0.33333333333333331</v>
      </c>
      <c r="E1034" s="87" t="s">
        <v>58</v>
      </c>
      <c r="F1034" s="87" t="s">
        <v>61</v>
      </c>
      <c r="G1034" s="87" t="s">
        <v>62</v>
      </c>
      <c r="H1034" s="90" t="s">
        <v>3243</v>
      </c>
      <c r="I1034" s="90" t="s">
        <v>128</v>
      </c>
      <c r="J1034" s="87" t="s">
        <v>173</v>
      </c>
      <c r="K1034" s="87"/>
      <c r="L1034" s="90" t="s">
        <v>72</v>
      </c>
      <c r="M1034" s="90" t="s">
        <v>72</v>
      </c>
      <c r="N1034" s="90" t="s">
        <v>72</v>
      </c>
      <c r="O1034" s="90" t="str">
        <f t="shared" si="133"/>
        <v>Suba</v>
      </c>
      <c r="P1034" s="87" t="s">
        <v>394</v>
      </c>
      <c r="Q1034" s="87"/>
      <c r="R1034" s="87"/>
      <c r="S1034" s="87"/>
      <c r="T1034" s="87"/>
      <c r="U1034" s="87"/>
      <c r="V1034" s="90" t="str">
        <f t="shared" si="137"/>
        <v>Noroccidente</v>
      </c>
      <c r="W1034" s="87" t="s">
        <v>395</v>
      </c>
      <c r="X1034" s="87"/>
      <c r="Y1034" s="87"/>
      <c r="Z1034" s="87"/>
      <c r="AA1034" s="87"/>
      <c r="AB1034" s="87"/>
      <c r="AC1034" s="90" t="str">
        <f t="shared" si="138"/>
        <v>Suba, Suba Rincón, Tibabuyes</v>
      </c>
      <c r="AD1034" s="87" t="s">
        <v>394</v>
      </c>
      <c r="AE1034" s="87" t="s">
        <v>396</v>
      </c>
      <c r="AF1034" s="87" t="s">
        <v>924</v>
      </c>
      <c r="AG1034" s="87"/>
      <c r="AH1034" s="87"/>
      <c r="AI1034" s="87"/>
      <c r="AJ1034" s="87"/>
      <c r="AK1034" s="87"/>
      <c r="AL1034" s="87"/>
      <c r="AM1034" s="87"/>
      <c r="AN1034" s="90" t="s">
        <v>395</v>
      </c>
      <c r="AO1034" s="90" t="s">
        <v>4634</v>
      </c>
      <c r="AP1034" s="82"/>
      <c r="AQ1034" s="87" t="s">
        <v>60</v>
      </c>
      <c r="AR1034" s="87" t="s">
        <v>2854</v>
      </c>
      <c r="AS1034" s="82"/>
      <c r="AT1034" s="87">
        <v>103</v>
      </c>
      <c r="AU1034" s="87">
        <v>22</v>
      </c>
      <c r="AV1034" s="87">
        <f t="shared" si="174"/>
        <v>125</v>
      </c>
      <c r="AW1034" s="87" t="str">
        <f t="shared" si="223"/>
        <v>Accesibilidad Universal, Horarios Acordes</v>
      </c>
      <c r="AX1034" s="87" t="s">
        <v>246</v>
      </c>
      <c r="AY1034" s="87" t="s">
        <v>213</v>
      </c>
      <c r="AZ1034" s="87"/>
      <c r="BA1034" s="91" t="s">
        <v>4635</v>
      </c>
      <c r="BB1034" s="84"/>
      <c r="BC1034" s="85"/>
      <c r="BD1034" s="85"/>
    </row>
    <row r="1035" spans="1:56" s="86" customFormat="1" ht="53.25" customHeight="1">
      <c r="A1035" s="87">
        <v>1030</v>
      </c>
      <c r="B1035" s="79" t="s">
        <v>4636</v>
      </c>
      <c r="C1035" s="88">
        <v>45565</v>
      </c>
      <c r="D1035" s="89">
        <v>0.41666666666666669</v>
      </c>
      <c r="E1035" s="87" t="s">
        <v>58</v>
      </c>
      <c r="F1035" s="87" t="s">
        <v>61</v>
      </c>
      <c r="G1035" s="87" t="s">
        <v>95</v>
      </c>
      <c r="H1035" s="90" t="s">
        <v>4637</v>
      </c>
      <c r="I1035" s="90" t="s">
        <v>128</v>
      </c>
      <c r="J1035" s="87" t="s">
        <v>173</v>
      </c>
      <c r="K1035" s="87"/>
      <c r="L1035" s="90" t="s">
        <v>4638</v>
      </c>
      <c r="M1035" s="90" t="s">
        <v>4623</v>
      </c>
      <c r="N1035" s="90" t="s">
        <v>4624</v>
      </c>
      <c r="O1035" s="90" t="str">
        <f t="shared" si="133"/>
        <v>Distrital</v>
      </c>
      <c r="P1035" s="87" t="s">
        <v>73</v>
      </c>
      <c r="Q1035" s="87"/>
      <c r="R1035" s="87"/>
      <c r="S1035" s="87"/>
      <c r="T1035" s="87"/>
      <c r="U1035" s="87"/>
      <c r="V1035" s="90" t="str">
        <f t="shared" si="137"/>
        <v>Distrital</v>
      </c>
      <c r="W1035" s="87" t="s">
        <v>73</v>
      </c>
      <c r="X1035" s="87"/>
      <c r="Y1035" s="87"/>
      <c r="Z1035" s="87"/>
      <c r="AA1035" s="87"/>
      <c r="AB1035" s="87"/>
      <c r="AC1035" s="90" t="str">
        <f t="shared" si="138"/>
        <v>Distrital</v>
      </c>
      <c r="AD1035" s="87" t="s">
        <v>73</v>
      </c>
      <c r="AE1035" s="87"/>
      <c r="AF1035" s="87"/>
      <c r="AG1035" s="87"/>
      <c r="AH1035" s="87"/>
      <c r="AI1035" s="87"/>
      <c r="AJ1035" s="87"/>
      <c r="AK1035" s="87"/>
      <c r="AL1035" s="87"/>
      <c r="AM1035" s="87"/>
      <c r="AN1035" s="90" t="s">
        <v>80</v>
      </c>
      <c r="AO1035" s="102" t="s">
        <v>2667</v>
      </c>
      <c r="AP1035" s="82"/>
      <c r="AQ1035" s="87" t="s">
        <v>60</v>
      </c>
      <c r="AR1035" s="87" t="s">
        <v>2854</v>
      </c>
      <c r="AS1035" s="82"/>
      <c r="AT1035" s="87">
        <v>12</v>
      </c>
      <c r="AU1035" s="87">
        <v>4</v>
      </c>
      <c r="AV1035" s="87">
        <f t="shared" si="174"/>
        <v>16</v>
      </c>
      <c r="AW1035" s="87" t="str">
        <f t="shared" si="54"/>
        <v>Ninguna</v>
      </c>
      <c r="AX1035" s="87" t="s">
        <v>75</v>
      </c>
      <c r="AY1035" s="87"/>
      <c r="AZ1035" s="87"/>
      <c r="BA1035" s="91" t="s">
        <v>4639</v>
      </c>
      <c r="BB1035" s="84"/>
      <c r="BC1035" s="85"/>
      <c r="BD1035" s="85"/>
    </row>
    <row r="1036" spans="1:56" s="86" customFormat="1" ht="53.25" customHeight="1">
      <c r="A1036" s="78">
        <v>1031</v>
      </c>
      <c r="B1036" s="79" t="s">
        <v>4640</v>
      </c>
      <c r="C1036" s="88">
        <v>45565</v>
      </c>
      <c r="D1036" s="89">
        <v>0.60416666666666663</v>
      </c>
      <c r="E1036" s="87" t="s">
        <v>58</v>
      </c>
      <c r="F1036" s="87" t="s">
        <v>1437</v>
      </c>
      <c r="G1036" s="87" t="s">
        <v>62</v>
      </c>
      <c r="H1036" s="90" t="s">
        <v>4641</v>
      </c>
      <c r="I1036" s="90" t="s">
        <v>118</v>
      </c>
      <c r="J1036" s="87" t="s">
        <v>173</v>
      </c>
      <c r="K1036" s="87"/>
      <c r="L1036" s="90" t="s">
        <v>72</v>
      </c>
      <c r="M1036" s="90" t="s">
        <v>72</v>
      </c>
      <c r="N1036" s="90" t="s">
        <v>72</v>
      </c>
      <c r="O1036" s="90" t="s">
        <v>73</v>
      </c>
      <c r="P1036" s="87" t="s">
        <v>73</v>
      </c>
      <c r="Q1036" s="87"/>
      <c r="R1036" s="87"/>
      <c r="S1036" s="87"/>
      <c r="T1036" s="87"/>
      <c r="U1036" s="87"/>
      <c r="V1036" s="90" t="s">
        <v>73</v>
      </c>
      <c r="W1036" s="87" t="s">
        <v>73</v>
      </c>
      <c r="X1036" s="87"/>
      <c r="Y1036" s="87"/>
      <c r="Z1036" s="87"/>
      <c r="AA1036" s="87"/>
      <c r="AB1036" s="87"/>
      <c r="AC1036" s="90" t="s">
        <v>73</v>
      </c>
      <c r="AD1036" s="87" t="s">
        <v>73</v>
      </c>
      <c r="AE1036" s="87"/>
      <c r="AF1036" s="87"/>
      <c r="AG1036" s="87"/>
      <c r="AH1036" s="87"/>
      <c r="AI1036" s="87"/>
      <c r="AJ1036" s="87"/>
      <c r="AK1036" s="87"/>
      <c r="AL1036" s="87"/>
      <c r="AM1036" s="87"/>
      <c r="AN1036" s="90" t="s">
        <v>4642</v>
      </c>
      <c r="AO1036" s="109" t="s">
        <v>4643</v>
      </c>
      <c r="AP1036" s="82"/>
      <c r="AQ1036" s="87" t="s">
        <v>59</v>
      </c>
      <c r="AR1036" s="87" t="s">
        <v>80</v>
      </c>
      <c r="AS1036" s="82"/>
      <c r="AT1036" s="87">
        <v>5</v>
      </c>
      <c r="AU1036" s="87">
        <v>5</v>
      </c>
      <c r="AV1036" s="87">
        <f t="shared" si="174"/>
        <v>10</v>
      </c>
      <c r="AW1036" s="87" t="str">
        <f t="shared" ref="AW1036:AW1047" si="224">_xlfn.TEXTJOIN(", ",TRUE,$AX1036:$AZ1036)</f>
        <v>Ninguna</v>
      </c>
      <c r="AX1036" s="87" t="s">
        <v>75</v>
      </c>
      <c r="AY1036" s="87"/>
      <c r="AZ1036" s="87"/>
      <c r="BA1036" s="91" t="s">
        <v>4644</v>
      </c>
      <c r="BB1036" s="84"/>
      <c r="BC1036" s="85"/>
      <c r="BD1036" s="85"/>
    </row>
    <row r="1037" spans="1:56" s="86" customFormat="1" ht="42" customHeight="1">
      <c r="A1037" s="87">
        <v>1032</v>
      </c>
      <c r="B1037" s="90" t="s">
        <v>4645</v>
      </c>
      <c r="C1037" s="88">
        <v>45566</v>
      </c>
      <c r="D1037" s="89">
        <v>0.33333333333333331</v>
      </c>
      <c r="E1037" s="87" t="s">
        <v>93</v>
      </c>
      <c r="F1037" s="87" t="s">
        <v>321</v>
      </c>
      <c r="G1037" s="87" t="s">
        <v>62</v>
      </c>
      <c r="H1037" s="90" t="s">
        <v>4646</v>
      </c>
      <c r="I1037" s="90" t="s">
        <v>118</v>
      </c>
      <c r="J1037" s="87" t="s">
        <v>70</v>
      </c>
      <c r="K1037" s="87" t="s">
        <v>1810</v>
      </c>
      <c r="L1037" s="90" t="s">
        <v>4647</v>
      </c>
      <c r="M1037" s="91" t="s">
        <v>3132</v>
      </c>
      <c r="N1037" s="90" t="s">
        <v>3133</v>
      </c>
      <c r="O1037" s="90" t="str">
        <f>_xlfn.TEXTJOIN(", ",TRUE,$P1037:$T1037)</f>
        <v>Santa Fe</v>
      </c>
      <c r="P1037" s="87" t="s">
        <v>541</v>
      </c>
      <c r="Q1037" s="87"/>
      <c r="R1037" s="87"/>
      <c r="S1037" s="87"/>
      <c r="T1037" s="87"/>
      <c r="U1037" s="87"/>
      <c r="V1037" s="90" t="str">
        <f>_xlfn.TEXTJOIN(", ",TRUE,$W1037:$AB1037)</f>
        <v>Centro Ampliado</v>
      </c>
      <c r="W1037" s="87" t="s">
        <v>415</v>
      </c>
      <c r="X1037" s="87"/>
      <c r="Y1037" s="87"/>
      <c r="Z1037" s="87"/>
      <c r="AA1037" s="87"/>
      <c r="AB1037" s="87"/>
      <c r="AC1037" s="90" t="str">
        <f>_xlfn.TEXTJOIN(", ",TRUE,$AD1037:$AM1037)</f>
        <v>Centro Histórico</v>
      </c>
      <c r="AD1037" s="87" t="s">
        <v>488</v>
      </c>
      <c r="AE1037" s="87"/>
      <c r="AF1037" s="87"/>
      <c r="AG1037" s="87"/>
      <c r="AH1037" s="87"/>
      <c r="AI1037" s="87"/>
      <c r="AJ1037" s="87"/>
      <c r="AK1037" s="87"/>
      <c r="AL1037" s="87"/>
      <c r="AM1037" s="87"/>
      <c r="AN1037" s="90" t="s">
        <v>4648</v>
      </c>
      <c r="AO1037" s="90" t="s">
        <v>4649</v>
      </c>
      <c r="AP1037" s="82"/>
      <c r="AQ1037" s="87" t="s">
        <v>59</v>
      </c>
      <c r="AR1037" s="87" t="s">
        <v>80</v>
      </c>
      <c r="AS1037" s="82"/>
      <c r="AT1037" s="87">
        <v>11</v>
      </c>
      <c r="AU1037" s="87">
        <v>1</v>
      </c>
      <c r="AV1037" s="87">
        <f>AT1037+AU1037</f>
        <v>12</v>
      </c>
      <c r="AW1037" s="87" t="str">
        <f t="shared" si="224"/>
        <v>Ninguna</v>
      </c>
      <c r="AX1037" s="87" t="s">
        <v>75</v>
      </c>
      <c r="AY1037" s="87"/>
      <c r="AZ1037" s="87"/>
      <c r="BA1037" s="91" t="s">
        <v>4650</v>
      </c>
      <c r="BB1037" s="84"/>
      <c r="BC1037" s="85"/>
      <c r="BD1037" s="85"/>
    </row>
    <row r="1038" spans="1:56" s="86" customFormat="1" ht="42" customHeight="1">
      <c r="A1038" s="78">
        <v>1033</v>
      </c>
      <c r="B1038" s="90" t="s">
        <v>4651</v>
      </c>
      <c r="C1038" s="88">
        <v>45566</v>
      </c>
      <c r="D1038" s="89">
        <v>0.33333333333333331</v>
      </c>
      <c r="E1038" s="87" t="s">
        <v>58</v>
      </c>
      <c r="F1038" s="87" t="s">
        <v>135</v>
      </c>
      <c r="G1038" s="87" t="s">
        <v>62</v>
      </c>
      <c r="H1038" s="90" t="s">
        <v>4449</v>
      </c>
      <c r="I1038" s="90" t="s">
        <v>118</v>
      </c>
      <c r="J1038" s="87" t="s">
        <v>70</v>
      </c>
      <c r="K1038" s="87" t="s">
        <v>71</v>
      </c>
      <c r="L1038" s="90" t="s">
        <v>72</v>
      </c>
      <c r="M1038" s="90" t="s">
        <v>72</v>
      </c>
      <c r="N1038" s="90" t="s">
        <v>72</v>
      </c>
      <c r="O1038" s="90" t="s">
        <v>73</v>
      </c>
      <c r="P1038" s="87" t="s">
        <v>73</v>
      </c>
      <c r="Q1038" s="87"/>
      <c r="R1038" s="87"/>
      <c r="S1038" s="87"/>
      <c r="T1038" s="87"/>
      <c r="U1038" s="87"/>
      <c r="V1038" s="90" t="s">
        <v>73</v>
      </c>
      <c r="W1038" s="87" t="s">
        <v>73</v>
      </c>
      <c r="X1038" s="87"/>
      <c r="Y1038" s="87"/>
      <c r="Z1038" s="87"/>
      <c r="AA1038" s="87"/>
      <c r="AB1038" s="87"/>
      <c r="AC1038" s="90" t="s">
        <v>73</v>
      </c>
      <c r="AD1038" s="87" t="s">
        <v>73</v>
      </c>
      <c r="AE1038" s="87"/>
      <c r="AF1038" s="87"/>
      <c r="AG1038" s="87"/>
      <c r="AH1038" s="87"/>
      <c r="AI1038" s="87"/>
      <c r="AJ1038" s="87"/>
      <c r="AK1038" s="87"/>
      <c r="AL1038" s="87"/>
      <c r="AM1038" s="87"/>
      <c r="AN1038" s="90" t="s">
        <v>80</v>
      </c>
      <c r="AO1038" s="90" t="s">
        <v>4652</v>
      </c>
      <c r="AP1038" s="82"/>
      <c r="AQ1038" s="87" t="s">
        <v>59</v>
      </c>
      <c r="AR1038" s="87" t="s">
        <v>80</v>
      </c>
      <c r="AS1038" s="82"/>
      <c r="AT1038" s="87">
        <v>0</v>
      </c>
      <c r="AU1038" s="87">
        <v>7</v>
      </c>
      <c r="AV1038" s="87">
        <f t="shared" ref="AV1038" si="225">AT1038+AU1038</f>
        <v>7</v>
      </c>
      <c r="AW1038" s="87" t="str">
        <f t="shared" si="224"/>
        <v>Ninguna</v>
      </c>
      <c r="AX1038" s="87" t="s">
        <v>75</v>
      </c>
      <c r="AY1038" s="87"/>
      <c r="AZ1038" s="87"/>
      <c r="BA1038" s="91" t="s">
        <v>4653</v>
      </c>
      <c r="BB1038" s="84"/>
      <c r="BC1038" s="85"/>
      <c r="BD1038" s="85"/>
    </row>
    <row r="1039" spans="1:56" s="86" customFormat="1" ht="57" customHeight="1">
      <c r="A1039" s="87">
        <v>1034</v>
      </c>
      <c r="B1039" s="79" t="s">
        <v>4654</v>
      </c>
      <c r="C1039" s="88">
        <v>45566</v>
      </c>
      <c r="D1039" s="89">
        <v>0.41666666666666669</v>
      </c>
      <c r="E1039" s="87" t="s">
        <v>58</v>
      </c>
      <c r="F1039" s="87" t="s">
        <v>2121</v>
      </c>
      <c r="G1039" s="87" t="s">
        <v>62</v>
      </c>
      <c r="H1039" s="90" t="s">
        <v>4655</v>
      </c>
      <c r="I1039" s="90" t="s">
        <v>118</v>
      </c>
      <c r="J1039" s="87" t="s">
        <v>816</v>
      </c>
      <c r="K1039" s="87"/>
      <c r="L1039" s="90" t="s">
        <v>72</v>
      </c>
      <c r="M1039" s="91" t="s">
        <v>72</v>
      </c>
      <c r="N1039" s="90" t="s">
        <v>72</v>
      </c>
      <c r="O1039" s="90" t="str">
        <f>_xlfn.TEXTJOIN(", ",TRUE,$P1039:$T1039)</f>
        <v>Distrital</v>
      </c>
      <c r="P1039" s="87" t="s">
        <v>73</v>
      </c>
      <c r="Q1039" s="87"/>
      <c r="R1039" s="87"/>
      <c r="S1039" s="87"/>
      <c r="T1039" s="87"/>
      <c r="U1039" s="87"/>
      <c r="V1039" s="90" t="str">
        <f>_xlfn.TEXTJOIN(", ",TRUE,$W1039:$AB1039)</f>
        <v>Distrital</v>
      </c>
      <c r="W1039" s="87" t="s">
        <v>73</v>
      </c>
      <c r="X1039" s="87"/>
      <c r="Y1039" s="87"/>
      <c r="Z1039" s="87"/>
      <c r="AA1039" s="87"/>
      <c r="AB1039" s="87"/>
      <c r="AC1039" s="90" t="str">
        <f>_xlfn.TEXTJOIN(", ",TRUE,$AD1039:$AM1039)</f>
        <v>Distrital</v>
      </c>
      <c r="AD1039" s="87" t="s">
        <v>73</v>
      </c>
      <c r="AE1039" s="87"/>
      <c r="AF1039" s="87"/>
      <c r="AG1039" s="87"/>
      <c r="AH1039" s="87"/>
      <c r="AI1039" s="87"/>
      <c r="AJ1039" s="87"/>
      <c r="AK1039" s="87"/>
      <c r="AL1039" s="87"/>
      <c r="AM1039" s="87"/>
      <c r="AN1039" s="90" t="s">
        <v>80</v>
      </c>
      <c r="AO1039" s="90" t="s">
        <v>4656</v>
      </c>
      <c r="AP1039" s="82"/>
      <c r="AQ1039" s="87" t="s">
        <v>59</v>
      </c>
      <c r="AR1039" s="87" t="s">
        <v>80</v>
      </c>
      <c r="AS1039" s="82"/>
      <c r="AT1039" s="87">
        <v>0</v>
      </c>
      <c r="AU1039" s="87">
        <v>8</v>
      </c>
      <c r="AV1039" s="87">
        <f t="shared" ref="AV1039:AV1131" si="226">AT1039+AU1039</f>
        <v>8</v>
      </c>
      <c r="AW1039" s="87" t="str">
        <f t="shared" si="224"/>
        <v>Ninguna</v>
      </c>
      <c r="AX1039" s="87" t="s">
        <v>75</v>
      </c>
      <c r="AY1039" s="87"/>
      <c r="AZ1039" s="87"/>
      <c r="BA1039" s="91" t="s">
        <v>4657</v>
      </c>
      <c r="BB1039" s="84"/>
      <c r="BC1039" s="85"/>
      <c r="BD1039" s="85"/>
    </row>
    <row r="1040" spans="1:56" s="86" customFormat="1" ht="57" customHeight="1">
      <c r="A1040" s="78">
        <v>1035</v>
      </c>
      <c r="B1040" s="79" t="s">
        <v>4658</v>
      </c>
      <c r="C1040" s="88">
        <v>45566</v>
      </c>
      <c r="D1040" s="89">
        <v>0.45833333333333331</v>
      </c>
      <c r="E1040" s="87" t="s">
        <v>58</v>
      </c>
      <c r="F1040" s="87" t="s">
        <v>1142</v>
      </c>
      <c r="G1040" s="87" t="s">
        <v>62</v>
      </c>
      <c r="H1040" s="90" t="s">
        <v>4659</v>
      </c>
      <c r="I1040" s="90" t="s">
        <v>118</v>
      </c>
      <c r="J1040" s="87" t="s">
        <v>70</v>
      </c>
      <c r="K1040" s="87"/>
      <c r="L1040" s="90" t="s">
        <v>72</v>
      </c>
      <c r="M1040" s="91" t="s">
        <v>72</v>
      </c>
      <c r="N1040" s="90" t="s">
        <v>72</v>
      </c>
      <c r="O1040" s="90" t="str">
        <f>_xlfn.TEXTJOIN(", ",TRUE,$P1040:$T1040)</f>
        <v>Distrital</v>
      </c>
      <c r="P1040" s="87" t="s">
        <v>73</v>
      </c>
      <c r="Q1040" s="87"/>
      <c r="R1040" s="87"/>
      <c r="S1040" s="87"/>
      <c r="T1040" s="87"/>
      <c r="U1040" s="87"/>
      <c r="V1040" s="90" t="str">
        <f>_xlfn.TEXTJOIN(", ",TRUE,$W1040:$AB1040)</f>
        <v>Distrital</v>
      </c>
      <c r="W1040" s="87" t="s">
        <v>73</v>
      </c>
      <c r="X1040" s="87"/>
      <c r="Y1040" s="87"/>
      <c r="Z1040" s="87"/>
      <c r="AA1040" s="87"/>
      <c r="AB1040" s="87"/>
      <c r="AC1040" s="90" t="str">
        <f>_xlfn.TEXTJOIN(", ",TRUE,$AD1040:$AM1040)</f>
        <v>Distrital</v>
      </c>
      <c r="AD1040" s="87" t="s">
        <v>73</v>
      </c>
      <c r="AE1040" s="87"/>
      <c r="AF1040" s="87"/>
      <c r="AG1040" s="87"/>
      <c r="AH1040" s="87"/>
      <c r="AI1040" s="87"/>
      <c r="AJ1040" s="87"/>
      <c r="AK1040" s="87"/>
      <c r="AL1040" s="87"/>
      <c r="AM1040" s="87"/>
      <c r="AN1040" s="90" t="s">
        <v>80</v>
      </c>
      <c r="AO1040" s="90" t="s">
        <v>4660</v>
      </c>
      <c r="AP1040" s="82"/>
      <c r="AQ1040" s="87" t="s">
        <v>59</v>
      </c>
      <c r="AR1040" s="87" t="s">
        <v>80</v>
      </c>
      <c r="AS1040" s="82"/>
      <c r="AT1040" s="87">
        <v>0</v>
      </c>
      <c r="AU1040" s="87">
        <v>5</v>
      </c>
      <c r="AV1040" s="87">
        <f t="shared" si="226"/>
        <v>5</v>
      </c>
      <c r="AW1040" s="87" t="str">
        <f t="shared" si="224"/>
        <v>Ninguna</v>
      </c>
      <c r="AX1040" s="87" t="s">
        <v>75</v>
      </c>
      <c r="AY1040" s="87"/>
      <c r="AZ1040" s="87"/>
      <c r="BA1040" s="91" t="s">
        <v>4661</v>
      </c>
      <c r="BB1040" s="84"/>
      <c r="BC1040" s="85"/>
      <c r="BD1040" s="85"/>
    </row>
    <row r="1041" spans="1:56" s="86" customFormat="1" ht="53.25" customHeight="1">
      <c r="A1041" s="87">
        <v>1036</v>
      </c>
      <c r="B1041" s="79" t="s">
        <v>4662</v>
      </c>
      <c r="C1041" s="88">
        <v>45566</v>
      </c>
      <c r="D1041" s="89">
        <v>0.58333333333333337</v>
      </c>
      <c r="E1041" s="87" t="s">
        <v>58</v>
      </c>
      <c r="F1041" s="87" t="s">
        <v>1184</v>
      </c>
      <c r="G1041" s="87" t="s">
        <v>62</v>
      </c>
      <c r="H1041" s="90" t="s">
        <v>4663</v>
      </c>
      <c r="I1041" s="90" t="s">
        <v>64</v>
      </c>
      <c r="J1041" s="87" t="s">
        <v>70</v>
      </c>
      <c r="K1041" s="87" t="s">
        <v>324</v>
      </c>
      <c r="L1041" s="90" t="s">
        <v>1384</v>
      </c>
      <c r="M1041" s="90" t="s">
        <v>4664</v>
      </c>
      <c r="N1041" s="90" t="s">
        <v>1385</v>
      </c>
      <c r="O1041" s="90" t="str">
        <f t="shared" si="133"/>
        <v>Engativá</v>
      </c>
      <c r="P1041" s="87" t="s">
        <v>123</v>
      </c>
      <c r="Q1041" s="87"/>
      <c r="R1041" s="87"/>
      <c r="S1041" s="87"/>
      <c r="T1041" s="87"/>
      <c r="U1041" s="87"/>
      <c r="V1041" s="90" t="str">
        <f>_xlfn.TEXTJOIN(", ",TRUE,$W1041:$AB1041)</f>
        <v>Occidente</v>
      </c>
      <c r="W1041" s="87" t="s">
        <v>124</v>
      </c>
      <c r="X1041" s="87"/>
      <c r="Y1041" s="87"/>
      <c r="Z1041" s="87"/>
      <c r="AA1041" s="87"/>
      <c r="AB1041" s="87"/>
      <c r="AC1041" s="90" t="str">
        <f>_xlfn.TEXTJOIN(", ",TRUE,$AD1041:$AM1041)</f>
        <v>Tabora</v>
      </c>
      <c r="AD1041" s="87" t="s">
        <v>257</v>
      </c>
      <c r="AE1041" s="87"/>
      <c r="AF1041" s="87"/>
      <c r="AG1041" s="87"/>
      <c r="AH1041" s="87"/>
      <c r="AI1041" s="87"/>
      <c r="AJ1041" s="87"/>
      <c r="AK1041" s="87"/>
      <c r="AL1041" s="87"/>
      <c r="AM1041" s="87"/>
      <c r="AN1041" s="90" t="s">
        <v>1689</v>
      </c>
      <c r="AO1041" s="109" t="s">
        <v>2066</v>
      </c>
      <c r="AP1041" s="82"/>
      <c r="AQ1041" s="87" t="s">
        <v>59</v>
      </c>
      <c r="AR1041" s="87" t="s">
        <v>80</v>
      </c>
      <c r="AS1041" s="82"/>
      <c r="AT1041" s="87">
        <v>16</v>
      </c>
      <c r="AU1041" s="87">
        <v>7</v>
      </c>
      <c r="AV1041" s="87">
        <f t="shared" si="226"/>
        <v>23</v>
      </c>
      <c r="AW1041" s="87" t="str">
        <f t="shared" si="224"/>
        <v>Accesibilidad Universal</v>
      </c>
      <c r="AX1041" s="87" t="s">
        <v>246</v>
      </c>
      <c r="AY1041" s="87"/>
      <c r="AZ1041" s="87"/>
      <c r="BA1041" s="91" t="s">
        <v>4665</v>
      </c>
      <c r="BB1041" s="84"/>
      <c r="BC1041" s="85"/>
      <c r="BD1041" s="85"/>
    </row>
    <row r="1042" spans="1:56" s="86" customFormat="1" ht="53.25" customHeight="1">
      <c r="A1042" s="78">
        <v>1037</v>
      </c>
      <c r="B1042" s="90" t="s">
        <v>4666</v>
      </c>
      <c r="C1042" s="88">
        <v>45566</v>
      </c>
      <c r="D1042" s="89">
        <v>0.70833333333333337</v>
      </c>
      <c r="E1042" s="87" t="s">
        <v>93</v>
      </c>
      <c r="F1042" s="87" t="s">
        <v>102</v>
      </c>
      <c r="G1042" s="87" t="s">
        <v>95</v>
      </c>
      <c r="H1042" s="90" t="s">
        <v>4667</v>
      </c>
      <c r="I1042" s="90" t="s">
        <v>118</v>
      </c>
      <c r="J1042" s="87" t="s">
        <v>173</v>
      </c>
      <c r="K1042" s="87"/>
      <c r="L1042" s="90" t="s">
        <v>3964</v>
      </c>
      <c r="M1042" s="91" t="s">
        <v>3965</v>
      </c>
      <c r="N1042" s="90" t="s">
        <v>4668</v>
      </c>
      <c r="O1042" s="90" t="str">
        <f>_xlfn.TEXTJOIN(", ",TRUE,$P1042:$T1042)</f>
        <v>Distrital</v>
      </c>
      <c r="P1042" s="87" t="s">
        <v>73</v>
      </c>
      <c r="Q1042" s="87"/>
      <c r="R1042" s="87"/>
      <c r="S1042" s="87"/>
      <c r="T1042" s="87"/>
      <c r="U1042" s="87"/>
      <c r="V1042" s="90" t="str">
        <f>_xlfn.TEXTJOIN(", ",TRUE,$W1042:$AB1042)</f>
        <v>Distrital</v>
      </c>
      <c r="W1042" s="87" t="s">
        <v>73</v>
      </c>
      <c r="X1042" s="87"/>
      <c r="Y1042" s="87"/>
      <c r="Z1042" s="87"/>
      <c r="AA1042" s="87"/>
      <c r="AB1042" s="87"/>
      <c r="AC1042" s="90" t="str">
        <f>_xlfn.TEXTJOIN(", ",TRUE,$AD1042:$AM1042)</f>
        <v>Distrital</v>
      </c>
      <c r="AD1042" s="87" t="s">
        <v>73</v>
      </c>
      <c r="AE1042" s="87"/>
      <c r="AF1042" s="87"/>
      <c r="AG1042" s="87"/>
      <c r="AH1042" s="87"/>
      <c r="AI1042" s="87"/>
      <c r="AJ1042" s="87"/>
      <c r="AK1042" s="87"/>
      <c r="AL1042" s="87"/>
      <c r="AM1042" s="87"/>
      <c r="AN1042" s="90" t="s">
        <v>80</v>
      </c>
      <c r="AO1042" s="102" t="s">
        <v>4669</v>
      </c>
      <c r="AP1042" s="82"/>
      <c r="AQ1042" s="87"/>
      <c r="AR1042" s="87"/>
      <c r="AS1042" s="82"/>
      <c r="AT1042" s="87">
        <v>56</v>
      </c>
      <c r="AU1042" s="87">
        <v>2</v>
      </c>
      <c r="AV1042" s="87">
        <f t="shared" si="226"/>
        <v>58</v>
      </c>
      <c r="AW1042" s="87" t="str">
        <f t="shared" si="224"/>
        <v>Ninguna</v>
      </c>
      <c r="AX1042" s="87" t="s">
        <v>75</v>
      </c>
      <c r="AY1042" s="87"/>
      <c r="AZ1042" s="87"/>
      <c r="BA1042" s="91" t="s">
        <v>4670</v>
      </c>
      <c r="BB1042" s="84"/>
      <c r="BC1042" s="85"/>
      <c r="BD1042" s="85"/>
    </row>
    <row r="1043" spans="1:56" s="86" customFormat="1" ht="46.5" customHeight="1">
      <c r="A1043" s="87">
        <v>1038</v>
      </c>
      <c r="B1043" s="79" t="s">
        <v>320</v>
      </c>
      <c r="C1043" s="88">
        <v>45567</v>
      </c>
      <c r="D1043" s="89">
        <v>0.375</v>
      </c>
      <c r="E1043" s="87" t="s">
        <v>93</v>
      </c>
      <c r="F1043" s="87" t="s">
        <v>321</v>
      </c>
      <c r="G1043" s="87" t="s">
        <v>62</v>
      </c>
      <c r="H1043" s="90" t="s">
        <v>322</v>
      </c>
      <c r="I1043" s="90" t="s">
        <v>118</v>
      </c>
      <c r="J1043" s="87" t="s">
        <v>70</v>
      </c>
      <c r="K1043" s="87" t="s">
        <v>1810</v>
      </c>
      <c r="L1043" s="90" t="s">
        <v>4671</v>
      </c>
      <c r="M1043" s="91" t="s">
        <v>4672</v>
      </c>
      <c r="N1043" s="90" t="s">
        <v>4105</v>
      </c>
      <c r="O1043" s="90" t="str">
        <f>_xlfn.TEXTJOIN(", ",TRUE,$P1043:$T1043)</f>
        <v>Sumapaz</v>
      </c>
      <c r="P1043" s="87" t="s">
        <v>327</v>
      </c>
      <c r="Q1043" s="87"/>
      <c r="R1043" s="87"/>
      <c r="S1043" s="87"/>
      <c r="T1043" s="87"/>
      <c r="U1043" s="87"/>
      <c r="V1043" s="90" t="str">
        <f>_xlfn.TEXTJOIN(", ",TRUE,$W1043:$AB1043)</f>
        <v>Ruralidad</v>
      </c>
      <c r="W1043" s="87" t="s">
        <v>109</v>
      </c>
      <c r="X1043" s="87"/>
      <c r="Y1043" s="87"/>
      <c r="Z1043" s="87"/>
      <c r="AA1043" s="87"/>
      <c r="AB1043" s="87"/>
      <c r="AC1043" s="90" t="str">
        <f>_xlfn.TEXTJOIN(", ",TRUE,$AD1043:$AM1043)</f>
        <v>Sumapaz</v>
      </c>
      <c r="AD1043" s="87" t="s">
        <v>327</v>
      </c>
      <c r="AE1043" s="87"/>
      <c r="AF1043" s="87"/>
      <c r="AG1043" s="87"/>
      <c r="AH1043" s="87"/>
      <c r="AI1043" s="87"/>
      <c r="AJ1043" s="87"/>
      <c r="AK1043" s="87"/>
      <c r="AL1043" s="87"/>
      <c r="AM1043" s="87"/>
      <c r="AN1043" s="90" t="s">
        <v>80</v>
      </c>
      <c r="AO1043" s="90" t="s">
        <v>4673</v>
      </c>
      <c r="AP1043" s="82"/>
      <c r="AQ1043" s="87" t="s">
        <v>59</v>
      </c>
      <c r="AR1043" s="87" t="s">
        <v>80</v>
      </c>
      <c r="AS1043" s="82"/>
      <c r="AT1043" s="87">
        <v>17</v>
      </c>
      <c r="AU1043" s="87">
        <v>1</v>
      </c>
      <c r="AV1043" s="87">
        <f>AT1043+AU1043</f>
        <v>18</v>
      </c>
      <c r="AW1043" s="87" t="str">
        <f>_xlfn.TEXTJOIN(", ",TRUE,$AX1043:$AZ1043)</f>
        <v>Contenidos adaptados</v>
      </c>
      <c r="AX1043" s="87" t="s">
        <v>212</v>
      </c>
      <c r="AY1043" s="87"/>
      <c r="AZ1043" s="87"/>
      <c r="BA1043" s="91" t="s">
        <v>4674</v>
      </c>
      <c r="BB1043" s="84"/>
      <c r="BC1043" s="85"/>
      <c r="BD1043" s="85"/>
    </row>
    <row r="1044" spans="1:56" s="86" customFormat="1" ht="46.5" customHeight="1">
      <c r="A1044" s="78">
        <v>1039</v>
      </c>
      <c r="B1044" s="90" t="s">
        <v>4675</v>
      </c>
      <c r="C1044" s="88">
        <v>45567</v>
      </c>
      <c r="D1044" s="89">
        <v>0.375</v>
      </c>
      <c r="E1044" s="87" t="s">
        <v>93</v>
      </c>
      <c r="F1044" s="87" t="s">
        <v>321</v>
      </c>
      <c r="G1044" s="87" t="s">
        <v>95</v>
      </c>
      <c r="H1044" s="90" t="s">
        <v>4676</v>
      </c>
      <c r="I1044" s="90" t="s">
        <v>118</v>
      </c>
      <c r="J1044" s="87" t="s">
        <v>70</v>
      </c>
      <c r="K1044" s="87" t="s">
        <v>1810</v>
      </c>
      <c r="L1044" s="90" t="s">
        <v>2475</v>
      </c>
      <c r="M1044" s="91" t="s">
        <v>2753</v>
      </c>
      <c r="N1044" s="90" t="s">
        <v>2476</v>
      </c>
      <c r="O1044" s="90" t="str">
        <f t="shared" si="133"/>
        <v>Kennedy</v>
      </c>
      <c r="P1044" s="87" t="s">
        <v>473</v>
      </c>
      <c r="Q1044" s="87"/>
      <c r="R1044" s="87"/>
      <c r="S1044" s="87"/>
      <c r="T1044" s="87"/>
      <c r="U1044" s="87"/>
      <c r="V1044" s="90" t="str">
        <f t="shared" si="137"/>
        <v>Suroccidente</v>
      </c>
      <c r="W1044" s="87" t="s">
        <v>474</v>
      </c>
      <c r="X1044" s="87"/>
      <c r="Y1044" s="87"/>
      <c r="Z1044" s="87"/>
      <c r="AA1044" s="87"/>
      <c r="AB1044" s="87"/>
      <c r="AC1044" s="90" t="str">
        <f t="shared" si="138"/>
        <v>Kennedy</v>
      </c>
      <c r="AD1044" s="87" t="s">
        <v>473</v>
      </c>
      <c r="AE1044" s="87"/>
      <c r="AF1044" s="87"/>
      <c r="AG1044" s="87"/>
      <c r="AH1044" s="87"/>
      <c r="AI1044" s="87"/>
      <c r="AJ1044" s="87"/>
      <c r="AK1044" s="87"/>
      <c r="AL1044" s="87"/>
      <c r="AM1044" s="87"/>
      <c r="AN1044" s="90" t="s">
        <v>473</v>
      </c>
      <c r="AO1044" s="102" t="s">
        <v>2638</v>
      </c>
      <c r="AP1044" s="82"/>
      <c r="AQ1044" s="87" t="s">
        <v>59</v>
      </c>
      <c r="AR1044" s="87" t="s">
        <v>80</v>
      </c>
      <c r="AS1044" s="82"/>
      <c r="AT1044" s="87">
        <v>15</v>
      </c>
      <c r="AU1044" s="87">
        <v>1</v>
      </c>
      <c r="AV1044" s="87">
        <f t="shared" ref="AV1044" si="227">AT1044+AU1044</f>
        <v>16</v>
      </c>
      <c r="AW1044" s="87" t="str">
        <f t="shared" si="54"/>
        <v>Ninguna</v>
      </c>
      <c r="AX1044" s="87" t="s">
        <v>75</v>
      </c>
      <c r="AY1044" s="87"/>
      <c r="AZ1044" s="87"/>
      <c r="BA1044" s="91" t="s">
        <v>4677</v>
      </c>
      <c r="BB1044" s="84"/>
      <c r="BC1044" s="85"/>
      <c r="BD1044" s="85"/>
    </row>
    <row r="1045" spans="1:56" s="86" customFormat="1" ht="53.25" customHeight="1">
      <c r="A1045" s="87">
        <v>1040</v>
      </c>
      <c r="B1045" s="90" t="s">
        <v>4678</v>
      </c>
      <c r="C1045" s="88">
        <v>45567</v>
      </c>
      <c r="D1045" s="89">
        <v>0.375</v>
      </c>
      <c r="E1045" s="87" t="s">
        <v>93</v>
      </c>
      <c r="F1045" s="87" t="s">
        <v>321</v>
      </c>
      <c r="G1045" s="87" t="s">
        <v>95</v>
      </c>
      <c r="H1045" s="90" t="s">
        <v>820</v>
      </c>
      <c r="I1045" s="90" t="s">
        <v>118</v>
      </c>
      <c r="J1045" s="87" t="s">
        <v>70</v>
      </c>
      <c r="K1045" s="87" t="s">
        <v>1810</v>
      </c>
      <c r="L1045" s="90" t="s">
        <v>2214</v>
      </c>
      <c r="M1045" s="91" t="s">
        <v>4679</v>
      </c>
      <c r="N1045" s="90" t="s">
        <v>2215</v>
      </c>
      <c r="O1045" s="90" t="str">
        <f t="shared" si="133"/>
        <v>Puente Aranda</v>
      </c>
      <c r="P1045" s="87" t="s">
        <v>823</v>
      </c>
      <c r="Q1045" s="87"/>
      <c r="R1045" s="87"/>
      <c r="S1045" s="87"/>
      <c r="T1045" s="87"/>
      <c r="U1045" s="87"/>
      <c r="V1045" s="90" t="str">
        <f>_xlfn.TEXTJOIN(", ",TRUE,$W1045:$AB1045)</f>
        <v>Centro Ampliado</v>
      </c>
      <c r="W1045" s="87" t="s">
        <v>415</v>
      </c>
      <c r="X1045" s="87"/>
      <c r="Y1045" s="87"/>
      <c r="Z1045" s="87"/>
      <c r="AA1045" s="87"/>
      <c r="AB1045" s="87"/>
      <c r="AC1045" s="90" t="str">
        <f>_xlfn.TEXTJOIN(", ",TRUE,$AD1045:$AM1045)</f>
        <v>Puente Aranda</v>
      </c>
      <c r="AD1045" s="87" t="s">
        <v>823</v>
      </c>
      <c r="AE1045" s="87"/>
      <c r="AF1045" s="87"/>
      <c r="AG1045" s="87"/>
      <c r="AH1045" s="87"/>
      <c r="AI1045" s="87"/>
      <c r="AJ1045" s="87"/>
      <c r="AK1045" s="87"/>
      <c r="AL1045" s="87"/>
      <c r="AM1045" s="87"/>
      <c r="AN1045" s="90" t="s">
        <v>823</v>
      </c>
      <c r="AO1045" s="105" t="s">
        <v>4669</v>
      </c>
      <c r="AP1045" s="82"/>
      <c r="AQ1045" s="87" t="s">
        <v>59</v>
      </c>
      <c r="AR1045" s="87" t="s">
        <v>80</v>
      </c>
      <c r="AS1045" s="82"/>
      <c r="AT1045" s="87">
        <v>28</v>
      </c>
      <c r="AU1045" s="87">
        <v>1</v>
      </c>
      <c r="AV1045" s="87">
        <f t="shared" si="226"/>
        <v>29</v>
      </c>
      <c r="AW1045" s="87" t="str">
        <f t="shared" si="224"/>
        <v>Ninguna</v>
      </c>
      <c r="AX1045" s="87" t="s">
        <v>75</v>
      </c>
      <c r="AY1045" s="87"/>
      <c r="AZ1045" s="87"/>
      <c r="BA1045" s="91" t="s">
        <v>4680</v>
      </c>
      <c r="BB1045" s="84"/>
      <c r="BC1045" s="85"/>
      <c r="BD1045" s="85"/>
    </row>
    <row r="1046" spans="1:56" s="86" customFormat="1" ht="46.5" customHeight="1">
      <c r="A1046" s="78">
        <v>1041</v>
      </c>
      <c r="B1046" s="79" t="s">
        <v>4681</v>
      </c>
      <c r="C1046" s="88">
        <v>45567</v>
      </c>
      <c r="D1046" s="89">
        <v>0.41666666666666669</v>
      </c>
      <c r="E1046" s="87" t="s">
        <v>58</v>
      </c>
      <c r="F1046" s="87" t="s">
        <v>1184</v>
      </c>
      <c r="G1046" s="87" t="s">
        <v>62</v>
      </c>
      <c r="H1046" s="90" t="s">
        <v>4682</v>
      </c>
      <c r="I1046" s="90" t="s">
        <v>64</v>
      </c>
      <c r="J1046" s="87" t="s">
        <v>70</v>
      </c>
      <c r="K1046" s="87" t="s">
        <v>324</v>
      </c>
      <c r="L1046" s="90" t="s">
        <v>72</v>
      </c>
      <c r="M1046" s="91" t="s">
        <v>72</v>
      </c>
      <c r="N1046" s="90" t="s">
        <v>72</v>
      </c>
      <c r="O1046" s="90" t="str">
        <f t="shared" si="133"/>
        <v>Fontibón</v>
      </c>
      <c r="P1046" s="87" t="s">
        <v>420</v>
      </c>
      <c r="Q1046" s="87"/>
      <c r="R1046" s="87"/>
      <c r="S1046" s="87"/>
      <c r="T1046" s="87"/>
      <c r="U1046" s="87"/>
      <c r="V1046" s="90" t="str">
        <f>_xlfn.TEXTJOIN(", ",TRUE,$W1046:$AB1046)</f>
        <v>Occidente</v>
      </c>
      <c r="W1046" s="87" t="s">
        <v>124</v>
      </c>
      <c r="X1046" s="87"/>
      <c r="Y1046" s="87"/>
      <c r="Z1046" s="87"/>
      <c r="AA1046" s="87"/>
      <c r="AB1046" s="87"/>
      <c r="AC1046" s="90" t="str">
        <f>_xlfn.TEXTJOIN(", ",TRUE,$AD1046:$AM1046)</f>
        <v>Fontibón</v>
      </c>
      <c r="AD1046" s="87" t="s">
        <v>420</v>
      </c>
      <c r="AE1046" s="87"/>
      <c r="AF1046" s="87"/>
      <c r="AG1046" s="87"/>
      <c r="AH1046" s="87"/>
      <c r="AI1046" s="87"/>
      <c r="AJ1046" s="87"/>
      <c r="AK1046" s="87"/>
      <c r="AL1046" s="87"/>
      <c r="AM1046" s="87"/>
      <c r="AN1046" s="90" t="s">
        <v>80</v>
      </c>
      <c r="AO1046" s="90" t="s">
        <v>4683</v>
      </c>
      <c r="AP1046" s="82"/>
      <c r="AQ1046" s="87" t="s">
        <v>59</v>
      </c>
      <c r="AR1046" s="87" t="s">
        <v>80</v>
      </c>
      <c r="AS1046" s="82"/>
      <c r="AT1046" s="87">
        <v>8</v>
      </c>
      <c r="AU1046" s="87">
        <v>8</v>
      </c>
      <c r="AV1046" s="87">
        <f t="shared" si="226"/>
        <v>16</v>
      </c>
      <c r="AW1046" s="87" t="str">
        <f t="shared" si="224"/>
        <v>Contenidos adaptados</v>
      </c>
      <c r="AX1046" s="87" t="s">
        <v>212</v>
      </c>
      <c r="AY1046" s="87"/>
      <c r="AZ1046" s="87"/>
      <c r="BA1046" s="91" t="s">
        <v>4684</v>
      </c>
      <c r="BB1046" s="84"/>
      <c r="BC1046" s="85"/>
      <c r="BD1046" s="85"/>
    </row>
    <row r="1047" spans="1:56" s="86" customFormat="1" ht="46.5" customHeight="1">
      <c r="A1047" s="87">
        <v>1042</v>
      </c>
      <c r="B1047" s="79" t="s">
        <v>463</v>
      </c>
      <c r="C1047" s="88">
        <v>45567</v>
      </c>
      <c r="D1047" s="89">
        <v>0.58333333333333337</v>
      </c>
      <c r="E1047" s="87" t="s">
        <v>93</v>
      </c>
      <c r="F1047" s="87" t="s">
        <v>321</v>
      </c>
      <c r="G1047" s="87" t="s">
        <v>62</v>
      </c>
      <c r="H1047" s="90" t="s">
        <v>4111</v>
      </c>
      <c r="I1047" s="90" t="s">
        <v>118</v>
      </c>
      <c r="J1047" s="87" t="s">
        <v>70</v>
      </c>
      <c r="K1047" s="87" t="s">
        <v>1810</v>
      </c>
      <c r="L1047" s="90" t="s">
        <v>1447</v>
      </c>
      <c r="M1047" s="91" t="s">
        <v>1448</v>
      </c>
      <c r="N1047" s="90" t="s">
        <v>4685</v>
      </c>
      <c r="O1047" s="90" t="str">
        <f t="shared" si="133"/>
        <v>Rafael Uribe Uribe</v>
      </c>
      <c r="P1047" s="87" t="s">
        <v>414</v>
      </c>
      <c r="Q1047" s="87"/>
      <c r="R1047" s="87"/>
      <c r="S1047" s="87"/>
      <c r="T1047" s="87"/>
      <c r="U1047" s="87"/>
      <c r="V1047" s="90" t="str">
        <f>_xlfn.TEXTJOIN(", ",TRUE,$W1047:$AB1047)</f>
        <v>Suroriente</v>
      </c>
      <c r="W1047" s="87" t="s">
        <v>108</v>
      </c>
      <c r="X1047" s="87"/>
      <c r="Y1047" s="87"/>
      <c r="Z1047" s="87"/>
      <c r="AA1047" s="87"/>
      <c r="AB1047" s="87"/>
      <c r="AC1047" s="90" t="str">
        <f>_xlfn.TEXTJOIN(", ",TRUE,$AD1047:$AM1047)</f>
        <v>Rafael Uribe</v>
      </c>
      <c r="AD1047" s="87" t="s">
        <v>467</v>
      </c>
      <c r="AE1047" s="87"/>
      <c r="AF1047" s="87"/>
      <c r="AG1047" s="87"/>
      <c r="AH1047" s="87"/>
      <c r="AI1047" s="87"/>
      <c r="AJ1047" s="87"/>
      <c r="AK1047" s="87"/>
      <c r="AL1047" s="87"/>
      <c r="AM1047" s="87"/>
      <c r="AN1047" s="90" t="s">
        <v>1364</v>
      </c>
      <c r="AO1047" s="90" t="s">
        <v>600</v>
      </c>
      <c r="AP1047" s="82"/>
      <c r="AQ1047" s="87" t="s">
        <v>59</v>
      </c>
      <c r="AR1047" s="87" t="s">
        <v>80</v>
      </c>
      <c r="AS1047" s="82"/>
      <c r="AT1047" s="87">
        <v>20</v>
      </c>
      <c r="AU1047" s="87">
        <v>1</v>
      </c>
      <c r="AV1047" s="87">
        <f t="shared" si="226"/>
        <v>21</v>
      </c>
      <c r="AW1047" s="87" t="str">
        <f t="shared" si="224"/>
        <v>Ninguna</v>
      </c>
      <c r="AX1047" s="87" t="s">
        <v>75</v>
      </c>
      <c r="AY1047" s="87"/>
      <c r="AZ1047" s="87"/>
      <c r="BA1047" s="91" t="s">
        <v>4686</v>
      </c>
      <c r="BB1047" s="84"/>
      <c r="BC1047" s="85"/>
      <c r="BD1047" s="85"/>
    </row>
    <row r="1048" spans="1:56" s="86" customFormat="1" ht="46.5" customHeight="1">
      <c r="A1048" s="78">
        <v>1043</v>
      </c>
      <c r="B1048" s="79" t="s">
        <v>4687</v>
      </c>
      <c r="C1048" s="88">
        <v>45567</v>
      </c>
      <c r="D1048" s="89">
        <v>0.625</v>
      </c>
      <c r="E1048" s="87" t="s">
        <v>58</v>
      </c>
      <c r="F1048" s="87" t="s">
        <v>116</v>
      </c>
      <c r="G1048" s="87" t="s">
        <v>62</v>
      </c>
      <c r="H1048" s="90" t="s">
        <v>4688</v>
      </c>
      <c r="I1048" s="90" t="s">
        <v>118</v>
      </c>
      <c r="J1048" s="87" t="s">
        <v>173</v>
      </c>
      <c r="K1048" s="87"/>
      <c r="L1048" s="90" t="s">
        <v>4689</v>
      </c>
      <c r="M1048" s="91" t="s">
        <v>1317</v>
      </c>
      <c r="N1048" s="90" t="s">
        <v>4290</v>
      </c>
      <c r="O1048" s="90" t="str">
        <f t="shared" si="133"/>
        <v>Barrios Unidos</v>
      </c>
      <c r="P1048" s="87" t="s">
        <v>686</v>
      </c>
      <c r="Q1048" s="87"/>
      <c r="R1048" s="87"/>
      <c r="S1048" s="87"/>
      <c r="T1048" s="87"/>
      <c r="U1048" s="87"/>
      <c r="V1048" s="90" t="str">
        <f t="shared" si="137"/>
        <v>Centro Ampliado</v>
      </c>
      <c r="W1048" s="87" t="s">
        <v>415</v>
      </c>
      <c r="X1048" s="87"/>
      <c r="Y1048" s="87"/>
      <c r="Z1048" s="87"/>
      <c r="AA1048" s="87"/>
      <c r="AB1048" s="87"/>
      <c r="AC1048" s="90" t="str">
        <f t="shared" si="138"/>
        <v>Barrios Unidos</v>
      </c>
      <c r="AD1048" s="87" t="s">
        <v>686</v>
      </c>
      <c r="AE1048" s="87"/>
      <c r="AF1048" s="87"/>
      <c r="AG1048" s="87"/>
      <c r="AH1048" s="87"/>
      <c r="AI1048" s="87"/>
      <c r="AJ1048" s="87"/>
      <c r="AK1048" s="87"/>
      <c r="AL1048" s="87"/>
      <c r="AM1048" s="87"/>
      <c r="AN1048" s="90" t="s">
        <v>3447</v>
      </c>
      <c r="AO1048" s="90" t="s">
        <v>4690</v>
      </c>
      <c r="AP1048" s="82"/>
      <c r="AQ1048" s="87" t="s">
        <v>59</v>
      </c>
      <c r="AR1048" s="87" t="s">
        <v>80</v>
      </c>
      <c r="AS1048" s="82"/>
      <c r="AT1048" s="87">
        <v>5</v>
      </c>
      <c r="AU1048" s="87">
        <v>1</v>
      </c>
      <c r="AV1048" s="87">
        <f t="shared" si="226"/>
        <v>6</v>
      </c>
      <c r="AW1048" s="87" t="str">
        <f>_xlfn.TEXTJOIN(", ",TRUE,$AX1048:$AZ1048)</f>
        <v>Ninguna</v>
      </c>
      <c r="AX1048" s="87" t="s">
        <v>75</v>
      </c>
      <c r="AY1048" s="87"/>
      <c r="AZ1048" s="87"/>
      <c r="BA1048" s="91" t="s">
        <v>4691</v>
      </c>
      <c r="BB1048" s="84"/>
      <c r="BC1048" s="85"/>
      <c r="BD1048" s="85"/>
    </row>
    <row r="1049" spans="1:56" s="86" customFormat="1" ht="46.5" customHeight="1">
      <c r="A1049" s="87">
        <v>1044</v>
      </c>
      <c r="B1049" s="90" t="s">
        <v>4692</v>
      </c>
      <c r="C1049" s="88">
        <v>45567</v>
      </c>
      <c r="D1049" s="89">
        <v>0.58333333333333337</v>
      </c>
      <c r="E1049" s="87" t="s">
        <v>58</v>
      </c>
      <c r="F1049" s="87" t="s">
        <v>1142</v>
      </c>
      <c r="G1049" s="87" t="s">
        <v>95</v>
      </c>
      <c r="H1049" s="90" t="s">
        <v>4693</v>
      </c>
      <c r="I1049" s="90" t="s">
        <v>118</v>
      </c>
      <c r="J1049" s="87" t="s">
        <v>70</v>
      </c>
      <c r="K1049" s="87" t="s">
        <v>71</v>
      </c>
      <c r="L1049" s="90" t="s">
        <v>4694</v>
      </c>
      <c r="M1049" s="91" t="s">
        <v>4695</v>
      </c>
      <c r="N1049" s="90" t="s">
        <v>4696</v>
      </c>
      <c r="O1049" s="90" t="str">
        <f t="shared" si="133"/>
        <v>Distrital</v>
      </c>
      <c r="P1049" s="87" t="s">
        <v>73</v>
      </c>
      <c r="Q1049" s="87"/>
      <c r="R1049" s="87"/>
      <c r="S1049" s="87"/>
      <c r="T1049" s="87"/>
      <c r="U1049" s="87"/>
      <c r="V1049" s="90" t="str">
        <f t="shared" si="137"/>
        <v>Distrital</v>
      </c>
      <c r="W1049" s="87" t="s">
        <v>73</v>
      </c>
      <c r="X1049" s="87"/>
      <c r="Y1049" s="87"/>
      <c r="Z1049" s="87"/>
      <c r="AA1049" s="87"/>
      <c r="AB1049" s="87"/>
      <c r="AC1049" s="90" t="str">
        <f t="shared" si="138"/>
        <v>Distrital</v>
      </c>
      <c r="AD1049" s="87" t="s">
        <v>73</v>
      </c>
      <c r="AE1049" s="87"/>
      <c r="AF1049" s="87"/>
      <c r="AG1049" s="87"/>
      <c r="AH1049" s="87"/>
      <c r="AI1049" s="87"/>
      <c r="AJ1049" s="87"/>
      <c r="AK1049" s="87"/>
      <c r="AL1049" s="87"/>
      <c r="AM1049" s="87"/>
      <c r="AN1049" s="90" t="s">
        <v>80</v>
      </c>
      <c r="AO1049" s="128" t="s">
        <v>2638</v>
      </c>
      <c r="AP1049" s="82"/>
      <c r="AQ1049" s="87" t="s">
        <v>59</v>
      </c>
      <c r="AR1049" s="87" t="s">
        <v>80</v>
      </c>
      <c r="AS1049" s="82"/>
      <c r="AT1049" s="87">
        <v>0</v>
      </c>
      <c r="AU1049" s="87">
        <v>4</v>
      </c>
      <c r="AV1049" s="87">
        <f t="shared" ref="AV1049:AV1050" si="228">AT1049+AU1049</f>
        <v>4</v>
      </c>
      <c r="AW1049" s="87" t="str">
        <f>_xlfn.TEXTJOIN(", ",TRUE,$AX1049:$AZ1049)</f>
        <v>Ninguna</v>
      </c>
      <c r="AX1049" s="87" t="s">
        <v>75</v>
      </c>
      <c r="AY1049" s="87"/>
      <c r="AZ1049" s="87"/>
      <c r="BA1049" s="91" t="s">
        <v>4697</v>
      </c>
      <c r="BB1049" s="84"/>
      <c r="BC1049" s="85"/>
      <c r="BD1049" s="85"/>
    </row>
    <row r="1050" spans="1:56" s="86" customFormat="1" ht="46.5" customHeight="1">
      <c r="A1050" s="78">
        <v>1045</v>
      </c>
      <c r="B1050" s="90" t="s">
        <v>4698</v>
      </c>
      <c r="C1050" s="88">
        <v>45567</v>
      </c>
      <c r="D1050" s="89">
        <v>0.58333333333333337</v>
      </c>
      <c r="E1050" s="87" t="s">
        <v>58</v>
      </c>
      <c r="F1050" s="87" t="s">
        <v>1437</v>
      </c>
      <c r="G1050" s="87" t="s">
        <v>62</v>
      </c>
      <c r="H1050" s="90" t="s">
        <v>4699</v>
      </c>
      <c r="I1050" s="90" t="s">
        <v>118</v>
      </c>
      <c r="J1050" s="87" t="s">
        <v>173</v>
      </c>
      <c r="K1050" s="87"/>
      <c r="L1050" s="90" t="s">
        <v>72</v>
      </c>
      <c r="M1050" s="91" t="s">
        <v>72</v>
      </c>
      <c r="N1050" s="90" t="s">
        <v>72</v>
      </c>
      <c r="O1050" s="90" t="str">
        <f t="shared" si="133"/>
        <v>Distrital</v>
      </c>
      <c r="P1050" s="87" t="s">
        <v>73</v>
      </c>
      <c r="Q1050" s="87"/>
      <c r="R1050" s="87"/>
      <c r="S1050" s="87"/>
      <c r="T1050" s="87"/>
      <c r="U1050" s="87"/>
      <c r="V1050" s="90" t="str">
        <f t="shared" si="137"/>
        <v>Distrital</v>
      </c>
      <c r="W1050" s="87" t="s">
        <v>73</v>
      </c>
      <c r="X1050" s="87"/>
      <c r="Y1050" s="87"/>
      <c r="Z1050" s="87"/>
      <c r="AA1050" s="87"/>
      <c r="AB1050" s="87"/>
      <c r="AC1050" s="90" t="str">
        <f t="shared" si="138"/>
        <v>Distrital</v>
      </c>
      <c r="AD1050" s="87" t="s">
        <v>73</v>
      </c>
      <c r="AE1050" s="87"/>
      <c r="AF1050" s="87"/>
      <c r="AG1050" s="87"/>
      <c r="AH1050" s="87"/>
      <c r="AI1050" s="87"/>
      <c r="AJ1050" s="87"/>
      <c r="AK1050" s="87"/>
      <c r="AL1050" s="87"/>
      <c r="AM1050" s="87"/>
      <c r="AN1050" s="90" t="s">
        <v>80</v>
      </c>
      <c r="AO1050" s="90" t="s">
        <v>4700</v>
      </c>
      <c r="AP1050" s="82"/>
      <c r="AQ1050" s="87" t="s">
        <v>59</v>
      </c>
      <c r="AR1050" s="87" t="s">
        <v>80</v>
      </c>
      <c r="AS1050" s="82"/>
      <c r="AT1050" s="87">
        <v>4</v>
      </c>
      <c r="AU1050" s="87">
        <v>7</v>
      </c>
      <c r="AV1050" s="87">
        <f t="shared" si="228"/>
        <v>11</v>
      </c>
      <c r="AW1050" s="87" t="str">
        <f>_xlfn.TEXTJOIN(", ",TRUE,$AX1050:$AZ1050)</f>
        <v>Ninguna</v>
      </c>
      <c r="AX1050" s="87" t="s">
        <v>75</v>
      </c>
      <c r="AY1050" s="87"/>
      <c r="AZ1050" s="87"/>
      <c r="BA1050" s="91" t="s">
        <v>4701</v>
      </c>
      <c r="BB1050" s="84"/>
      <c r="BC1050" s="85"/>
      <c r="BD1050" s="85"/>
    </row>
    <row r="1051" spans="1:56" s="86" customFormat="1" ht="46.5" customHeight="1">
      <c r="A1051" s="87">
        <v>1046</v>
      </c>
      <c r="B1051" s="79" t="s">
        <v>4702</v>
      </c>
      <c r="C1051" s="88">
        <v>45567</v>
      </c>
      <c r="D1051" s="89">
        <v>0.625</v>
      </c>
      <c r="E1051" s="87" t="s">
        <v>93</v>
      </c>
      <c r="F1051" s="87" t="s">
        <v>102</v>
      </c>
      <c r="G1051" s="87" t="s">
        <v>95</v>
      </c>
      <c r="H1051" s="90" t="s">
        <v>4703</v>
      </c>
      <c r="I1051" s="90" t="s">
        <v>118</v>
      </c>
      <c r="J1051" s="87" t="s">
        <v>119</v>
      </c>
      <c r="K1051" s="87" t="s">
        <v>129</v>
      </c>
      <c r="L1051" s="90" t="s">
        <v>4704</v>
      </c>
      <c r="M1051" s="91" t="s">
        <v>3950</v>
      </c>
      <c r="N1051" s="90" t="s">
        <v>736</v>
      </c>
      <c r="O1051" s="90" t="str">
        <f>_xlfn.TEXTJOIN(", ",TRUE,$P1051:$T1051)</f>
        <v>Distrital</v>
      </c>
      <c r="P1051" s="87" t="s">
        <v>73</v>
      </c>
      <c r="Q1051" s="87"/>
      <c r="R1051" s="87"/>
      <c r="S1051" s="87"/>
      <c r="T1051" s="87"/>
      <c r="U1051" s="87"/>
      <c r="V1051" s="90" t="str">
        <f>_xlfn.TEXTJOIN(", ",TRUE,$W1051:$AB1051)</f>
        <v>Distrital</v>
      </c>
      <c r="W1051" s="87" t="s">
        <v>73</v>
      </c>
      <c r="X1051" s="87"/>
      <c r="Y1051" s="87"/>
      <c r="Z1051" s="87"/>
      <c r="AA1051" s="87"/>
      <c r="AB1051" s="87"/>
      <c r="AC1051" s="90" t="str">
        <f>_xlfn.TEXTJOIN(", ",TRUE,$AD1051:$AM1051)</f>
        <v>Distrital</v>
      </c>
      <c r="AD1051" s="87" t="s">
        <v>73</v>
      </c>
      <c r="AE1051" s="87"/>
      <c r="AF1051" s="87"/>
      <c r="AG1051" s="87"/>
      <c r="AH1051" s="87"/>
      <c r="AI1051" s="87"/>
      <c r="AJ1051" s="87"/>
      <c r="AK1051" s="87"/>
      <c r="AL1051" s="87"/>
      <c r="AM1051" s="87"/>
      <c r="AN1051" s="90" t="s">
        <v>80</v>
      </c>
      <c r="AO1051" s="102" t="s">
        <v>2667</v>
      </c>
      <c r="AP1051" s="82"/>
      <c r="AQ1051" s="87" t="s">
        <v>59</v>
      </c>
      <c r="AR1051" s="87" t="s">
        <v>80</v>
      </c>
      <c r="AS1051" s="82"/>
      <c r="AT1051" s="87">
        <v>11</v>
      </c>
      <c r="AU1051" s="87">
        <v>1</v>
      </c>
      <c r="AV1051" s="87">
        <f>AT1051+AU1051</f>
        <v>12</v>
      </c>
      <c r="AW1051" s="87" t="str">
        <f>_xlfn.TEXTJOIN(", ",TRUE,$AX1051:$AZ1051)</f>
        <v>Ninguna</v>
      </c>
      <c r="AX1051" s="87" t="s">
        <v>75</v>
      </c>
      <c r="AY1051" s="87"/>
      <c r="AZ1051" s="87"/>
      <c r="BA1051" s="91" t="s">
        <v>4705</v>
      </c>
      <c r="BB1051" s="84"/>
      <c r="BC1051" s="85"/>
      <c r="BD1051" s="85"/>
    </row>
    <row r="1052" spans="1:56" s="86" customFormat="1" ht="57" customHeight="1">
      <c r="A1052" s="78">
        <v>1047</v>
      </c>
      <c r="B1052" s="79" t="s">
        <v>4706</v>
      </c>
      <c r="C1052" s="88">
        <v>45567</v>
      </c>
      <c r="D1052" s="89">
        <v>0.66666666666666663</v>
      </c>
      <c r="E1052" s="87" t="s">
        <v>58</v>
      </c>
      <c r="F1052" s="87" t="s">
        <v>1184</v>
      </c>
      <c r="G1052" s="87" t="s">
        <v>62</v>
      </c>
      <c r="H1052" s="90" t="s">
        <v>4707</v>
      </c>
      <c r="I1052" s="90" t="s">
        <v>64</v>
      </c>
      <c r="J1052" s="87" t="s">
        <v>70</v>
      </c>
      <c r="K1052" s="87" t="s">
        <v>324</v>
      </c>
      <c r="L1052" s="90" t="s">
        <v>2256</v>
      </c>
      <c r="M1052" s="91" t="s">
        <v>4708</v>
      </c>
      <c r="N1052" s="90" t="s">
        <v>2816</v>
      </c>
      <c r="O1052" s="90" t="str">
        <f>_xlfn.TEXTJOIN(", ",TRUE,$P1052:$T1052)</f>
        <v>Santa Fe</v>
      </c>
      <c r="P1052" s="87" t="s">
        <v>541</v>
      </c>
      <c r="Q1052" s="87"/>
      <c r="R1052" s="87"/>
      <c r="S1052" s="87"/>
      <c r="T1052" s="87"/>
      <c r="U1052" s="87"/>
      <c r="V1052" s="90" t="str">
        <f>_xlfn.TEXTJOIN(", ",TRUE,$W1052:$AB1052)</f>
        <v>Centro Ampliado</v>
      </c>
      <c r="W1052" s="87" t="s">
        <v>415</v>
      </c>
      <c r="X1052" s="87"/>
      <c r="Y1052" s="87"/>
      <c r="Z1052" s="87"/>
      <c r="AA1052" s="87"/>
      <c r="AB1052" s="87"/>
      <c r="AC1052" s="90" t="str">
        <f>_xlfn.TEXTJOIN(", ",TRUE,$AD1052:$AM1052)</f>
        <v>Centro Histórico</v>
      </c>
      <c r="AD1052" s="87" t="s">
        <v>488</v>
      </c>
      <c r="AE1052" s="87"/>
      <c r="AF1052" s="87"/>
      <c r="AG1052" s="87"/>
      <c r="AH1052" s="87"/>
      <c r="AI1052" s="87"/>
      <c r="AJ1052" s="87"/>
      <c r="AK1052" s="87"/>
      <c r="AL1052" s="87"/>
      <c r="AM1052" s="87"/>
      <c r="AN1052" s="90" t="s">
        <v>4709</v>
      </c>
      <c r="AO1052" s="90" t="s">
        <v>4710</v>
      </c>
      <c r="AP1052" s="82"/>
      <c r="AQ1052" s="87" t="s">
        <v>59</v>
      </c>
      <c r="AR1052" s="87" t="s">
        <v>80</v>
      </c>
      <c r="AS1052" s="82"/>
      <c r="AT1052" s="87">
        <v>4</v>
      </c>
      <c r="AU1052" s="87">
        <v>6</v>
      </c>
      <c r="AV1052" s="87">
        <f t="shared" si="226"/>
        <v>10</v>
      </c>
      <c r="AW1052" s="87" t="str">
        <f>_xlfn.TEXTJOIN(", ",TRUE,$AX1052:$AZ1052)</f>
        <v>Ninguna</v>
      </c>
      <c r="AX1052" s="87" t="s">
        <v>75</v>
      </c>
      <c r="AY1052" s="87"/>
      <c r="AZ1052" s="87"/>
      <c r="BA1052" s="91" t="s">
        <v>4711</v>
      </c>
      <c r="BB1052" s="84"/>
      <c r="BC1052" s="85"/>
      <c r="BD1052" s="85"/>
    </row>
    <row r="1053" spans="1:56" s="86" customFormat="1" ht="57" customHeight="1">
      <c r="A1053" s="87">
        <v>1048</v>
      </c>
      <c r="B1053" s="79" t="s">
        <v>4712</v>
      </c>
      <c r="C1053" s="88">
        <v>45567</v>
      </c>
      <c r="D1053" s="89">
        <v>0.66666666666666663</v>
      </c>
      <c r="E1053" s="87" t="s">
        <v>58</v>
      </c>
      <c r="F1053" s="87" t="s">
        <v>61</v>
      </c>
      <c r="G1053" s="87" t="s">
        <v>62</v>
      </c>
      <c r="H1053" s="90" t="s">
        <v>4713</v>
      </c>
      <c r="I1053" s="90" t="s">
        <v>118</v>
      </c>
      <c r="J1053" s="87" t="s">
        <v>119</v>
      </c>
      <c r="K1053" s="87"/>
      <c r="L1053" s="90" t="s">
        <v>2570</v>
      </c>
      <c r="M1053" s="91" t="s">
        <v>4714</v>
      </c>
      <c r="N1053" s="90" t="s">
        <v>4234</v>
      </c>
      <c r="O1053" s="90" t="str">
        <f t="shared" si="133"/>
        <v>Distrital</v>
      </c>
      <c r="P1053" s="87" t="s">
        <v>73</v>
      </c>
      <c r="Q1053" s="87"/>
      <c r="R1053" s="87"/>
      <c r="S1053" s="87"/>
      <c r="T1053" s="87"/>
      <c r="U1053" s="87"/>
      <c r="V1053" s="90" t="str">
        <f t="shared" si="137"/>
        <v>Centro Ampliado</v>
      </c>
      <c r="W1053" s="87" t="s">
        <v>415</v>
      </c>
      <c r="X1053" s="87"/>
      <c r="Y1053" s="87"/>
      <c r="Z1053" s="87"/>
      <c r="AA1053" s="87"/>
      <c r="AB1053" s="87"/>
      <c r="AC1053" s="90" t="str">
        <f t="shared" si="138"/>
        <v>Centro Histórico</v>
      </c>
      <c r="AD1053" s="87" t="s">
        <v>488</v>
      </c>
      <c r="AE1053" s="87"/>
      <c r="AF1053" s="87"/>
      <c r="AG1053" s="87"/>
      <c r="AH1053" s="87"/>
      <c r="AI1053" s="87"/>
      <c r="AJ1053" s="87"/>
      <c r="AK1053" s="87"/>
      <c r="AL1053" s="87"/>
      <c r="AM1053" s="87"/>
      <c r="AN1053" s="90" t="s">
        <v>4715</v>
      </c>
      <c r="AO1053" s="90" t="s">
        <v>4716</v>
      </c>
      <c r="AP1053" s="82"/>
      <c r="AQ1053" s="87" t="s">
        <v>59</v>
      </c>
      <c r="AR1053" s="87" t="s">
        <v>80</v>
      </c>
      <c r="AS1053" s="82"/>
      <c r="AT1053" s="87">
        <v>62</v>
      </c>
      <c r="AU1053" s="87">
        <v>1</v>
      </c>
      <c r="AV1053" s="87">
        <f t="shared" si="226"/>
        <v>63</v>
      </c>
      <c r="AW1053" s="87" t="str">
        <f t="shared" ref="AW1053:AW1059" si="229">_xlfn.TEXTJOIN(", ",TRUE,$AX1053:$AZ1053)</f>
        <v>Lenguaje de señas</v>
      </c>
      <c r="AX1053" s="87" t="s">
        <v>211</v>
      </c>
      <c r="AY1053" s="87"/>
      <c r="AZ1053" s="87"/>
      <c r="BA1053" s="140" t="s">
        <v>4717</v>
      </c>
      <c r="BB1053" s="84"/>
      <c r="BC1053" s="85"/>
      <c r="BD1053" s="85"/>
    </row>
    <row r="1054" spans="1:56" s="86" customFormat="1" ht="57" customHeight="1">
      <c r="A1054" s="78">
        <v>1049</v>
      </c>
      <c r="B1054" s="90" t="s">
        <v>3916</v>
      </c>
      <c r="C1054" s="88">
        <v>45567</v>
      </c>
      <c r="D1054" s="89">
        <v>0.75</v>
      </c>
      <c r="E1054" s="87" t="s">
        <v>93</v>
      </c>
      <c r="F1054" s="87" t="s">
        <v>102</v>
      </c>
      <c r="G1054" s="87" t="s">
        <v>95</v>
      </c>
      <c r="H1054" s="90" t="s">
        <v>4718</v>
      </c>
      <c r="I1054" s="90" t="s">
        <v>118</v>
      </c>
      <c r="J1054" s="87" t="s">
        <v>173</v>
      </c>
      <c r="K1054" s="87"/>
      <c r="L1054" s="90" t="s">
        <v>4719</v>
      </c>
      <c r="M1054" s="91" t="s">
        <v>3364</v>
      </c>
      <c r="N1054" s="90" t="s">
        <v>906</v>
      </c>
      <c r="O1054" s="90" t="str">
        <f>_xlfn.TEXTJOIN(", ",TRUE,$P1054:$T1054)</f>
        <v>Distrital</v>
      </c>
      <c r="P1054" s="87" t="s">
        <v>73</v>
      </c>
      <c r="Q1054" s="87"/>
      <c r="R1054" s="87"/>
      <c r="S1054" s="87"/>
      <c r="T1054" s="87"/>
      <c r="U1054" s="87"/>
      <c r="V1054" s="90" t="str">
        <f>_xlfn.TEXTJOIN(", ",TRUE,$W1054:$AB1054)</f>
        <v>Distrital</v>
      </c>
      <c r="W1054" s="87" t="s">
        <v>73</v>
      </c>
      <c r="X1054" s="87"/>
      <c r="Y1054" s="87"/>
      <c r="Z1054" s="87"/>
      <c r="AA1054" s="87"/>
      <c r="AB1054" s="87"/>
      <c r="AC1054" s="90" t="str">
        <f>_xlfn.TEXTJOIN(", ",TRUE,$AD1054:$AM1054)</f>
        <v>Distrital</v>
      </c>
      <c r="AD1054" s="87" t="s">
        <v>73</v>
      </c>
      <c r="AE1054" s="87"/>
      <c r="AF1054" s="87"/>
      <c r="AG1054" s="87"/>
      <c r="AH1054" s="87"/>
      <c r="AI1054" s="87"/>
      <c r="AJ1054" s="87"/>
      <c r="AK1054" s="87"/>
      <c r="AL1054" s="87"/>
      <c r="AM1054" s="87"/>
      <c r="AN1054" s="90" t="s">
        <v>80</v>
      </c>
      <c r="AO1054" s="102" t="s">
        <v>2638</v>
      </c>
      <c r="AP1054" s="82"/>
      <c r="AQ1054" s="87" t="s">
        <v>59</v>
      </c>
      <c r="AR1054" s="87" t="s">
        <v>80</v>
      </c>
      <c r="AS1054" s="82"/>
      <c r="AT1054" s="87">
        <v>21</v>
      </c>
      <c r="AU1054" s="87">
        <v>1</v>
      </c>
      <c r="AV1054" s="87">
        <f>AT1054+AU1054</f>
        <v>22</v>
      </c>
      <c r="AW1054" s="87" t="str">
        <f>_xlfn.TEXTJOIN(", ",TRUE,$AX1054:$AZ1054)</f>
        <v>Ninguna</v>
      </c>
      <c r="AX1054" s="87" t="s">
        <v>75</v>
      </c>
      <c r="AY1054" s="87"/>
      <c r="AZ1054" s="87"/>
      <c r="BA1054" s="91" t="s">
        <v>4720</v>
      </c>
      <c r="BB1054" s="84"/>
      <c r="BC1054" s="85"/>
      <c r="BD1054" s="85"/>
    </row>
    <row r="1055" spans="1:56" s="86" customFormat="1" ht="46.5" customHeight="1">
      <c r="A1055" s="87">
        <v>1050</v>
      </c>
      <c r="B1055" s="79" t="s">
        <v>1808</v>
      </c>
      <c r="C1055" s="88">
        <v>45568</v>
      </c>
      <c r="D1055" s="89">
        <v>0.33333333333333331</v>
      </c>
      <c r="E1055" s="87" t="s">
        <v>93</v>
      </c>
      <c r="F1055" s="87" t="s">
        <v>321</v>
      </c>
      <c r="G1055" s="87" t="s">
        <v>62</v>
      </c>
      <c r="H1055" s="90" t="s">
        <v>4721</v>
      </c>
      <c r="I1055" s="90" t="s">
        <v>118</v>
      </c>
      <c r="J1055" s="87" t="s">
        <v>70</v>
      </c>
      <c r="K1055" s="87" t="s">
        <v>1810</v>
      </c>
      <c r="L1055" s="90" t="s">
        <v>4722</v>
      </c>
      <c r="M1055" s="91" t="s">
        <v>3194</v>
      </c>
      <c r="N1055" s="90" t="s">
        <v>486</v>
      </c>
      <c r="O1055" s="90" t="str">
        <f t="shared" si="133"/>
        <v>La Candelaria</v>
      </c>
      <c r="P1055" s="87" t="s">
        <v>487</v>
      </c>
      <c r="Q1055" s="87"/>
      <c r="R1055" s="87"/>
      <c r="S1055" s="87"/>
      <c r="T1055" s="87"/>
      <c r="U1055" s="87"/>
      <c r="V1055" s="90" t="str">
        <f>_xlfn.TEXTJOIN(", ",TRUE,$W1055:$AB1055)</f>
        <v>Centro Ampliado</v>
      </c>
      <c r="W1055" s="87" t="s">
        <v>415</v>
      </c>
      <c r="X1055" s="87"/>
      <c r="Y1055" s="87"/>
      <c r="Z1055" s="87"/>
      <c r="AA1055" s="87"/>
      <c r="AB1055" s="87"/>
      <c r="AC1055" s="90" t="str">
        <f>_xlfn.TEXTJOIN(", ",TRUE,$AD1055:$AM1055)</f>
        <v>Centro Histórico</v>
      </c>
      <c r="AD1055" s="87" t="s">
        <v>488</v>
      </c>
      <c r="AE1055" s="87"/>
      <c r="AF1055" s="87"/>
      <c r="AG1055" s="87"/>
      <c r="AH1055" s="87"/>
      <c r="AI1055" s="87"/>
      <c r="AJ1055" s="87"/>
      <c r="AK1055" s="87"/>
      <c r="AL1055" s="87"/>
      <c r="AM1055" s="87"/>
      <c r="AN1055" s="90" t="s">
        <v>2682</v>
      </c>
      <c r="AO1055" s="90" t="s">
        <v>4723</v>
      </c>
      <c r="AP1055" s="82"/>
      <c r="AQ1055" s="87" t="s">
        <v>59</v>
      </c>
      <c r="AR1055" s="87" t="s">
        <v>80</v>
      </c>
      <c r="AS1055" s="82"/>
      <c r="AT1055" s="87">
        <v>26</v>
      </c>
      <c r="AU1055" s="87">
        <v>1</v>
      </c>
      <c r="AV1055" s="87">
        <f t="shared" si="226"/>
        <v>27</v>
      </c>
      <c r="AW1055" s="87" t="str">
        <f t="shared" si="229"/>
        <v>Ninguna</v>
      </c>
      <c r="AX1055" s="87" t="s">
        <v>75</v>
      </c>
      <c r="AY1055" s="87"/>
      <c r="AZ1055" s="87"/>
      <c r="BA1055" s="91" t="s">
        <v>4724</v>
      </c>
      <c r="BB1055" s="84"/>
      <c r="BC1055" s="85"/>
      <c r="BD1055" s="85"/>
    </row>
    <row r="1056" spans="1:56" s="86" customFormat="1" ht="46.5" customHeight="1">
      <c r="A1056" s="78">
        <v>1051</v>
      </c>
      <c r="B1056" s="79" t="s">
        <v>4725</v>
      </c>
      <c r="C1056" s="88">
        <v>45568</v>
      </c>
      <c r="D1056" s="89">
        <v>0.375</v>
      </c>
      <c r="E1056" s="87" t="s">
        <v>58</v>
      </c>
      <c r="F1056" s="87" t="s">
        <v>2121</v>
      </c>
      <c r="G1056" s="87" t="s">
        <v>62</v>
      </c>
      <c r="H1056" s="90" t="s">
        <v>4726</v>
      </c>
      <c r="I1056" s="90" t="s">
        <v>118</v>
      </c>
      <c r="J1056" s="87" t="s">
        <v>173</v>
      </c>
      <c r="K1056" s="87"/>
      <c r="L1056" s="90" t="s">
        <v>1070</v>
      </c>
      <c r="M1056" s="91" t="s">
        <v>4420</v>
      </c>
      <c r="N1056" s="90" t="s">
        <v>972</v>
      </c>
      <c r="O1056" s="90" t="str">
        <f>_xlfn.TEXTJOIN(", ",TRUE,$P1056:$T1056)</f>
        <v>Distrital</v>
      </c>
      <c r="P1056" s="87" t="s">
        <v>73</v>
      </c>
      <c r="Q1056" s="87"/>
      <c r="R1056" s="87"/>
      <c r="S1056" s="87"/>
      <c r="T1056" s="87"/>
      <c r="U1056" s="87"/>
      <c r="V1056" s="90" t="str">
        <f>_xlfn.TEXTJOIN(", ",TRUE,$W1056:$AB1056)</f>
        <v>Distrital</v>
      </c>
      <c r="W1056" s="87" t="s">
        <v>73</v>
      </c>
      <c r="X1056" s="87"/>
      <c r="Y1056" s="87"/>
      <c r="Z1056" s="87"/>
      <c r="AA1056" s="87"/>
      <c r="AB1056" s="87"/>
      <c r="AC1056" s="90" t="str">
        <f>_xlfn.TEXTJOIN(", ",TRUE,$AD1056:$AM1056)</f>
        <v>Distrital</v>
      </c>
      <c r="AD1056" s="87" t="s">
        <v>73</v>
      </c>
      <c r="AE1056" s="87"/>
      <c r="AF1056" s="87"/>
      <c r="AG1056" s="87"/>
      <c r="AH1056" s="87"/>
      <c r="AI1056" s="87"/>
      <c r="AJ1056" s="87"/>
      <c r="AK1056" s="87"/>
      <c r="AL1056" s="87"/>
      <c r="AM1056" s="87"/>
      <c r="AN1056" s="90" t="s">
        <v>4727</v>
      </c>
      <c r="AO1056" s="90" t="s">
        <v>4728</v>
      </c>
      <c r="AP1056" s="82"/>
      <c r="AQ1056" s="87" t="s">
        <v>59</v>
      </c>
      <c r="AR1056" s="87" t="s">
        <v>80</v>
      </c>
      <c r="AS1056" s="82"/>
      <c r="AT1056" s="87">
        <v>14</v>
      </c>
      <c r="AU1056" s="87">
        <v>4</v>
      </c>
      <c r="AV1056" s="87">
        <f t="shared" si="226"/>
        <v>18</v>
      </c>
      <c r="AW1056" s="87" t="str">
        <f t="shared" si="229"/>
        <v>Ninguna</v>
      </c>
      <c r="AX1056" s="87" t="s">
        <v>75</v>
      </c>
      <c r="AY1056" s="87"/>
      <c r="AZ1056" s="87"/>
      <c r="BA1056" s="91" t="s">
        <v>4729</v>
      </c>
      <c r="BB1056" s="84"/>
      <c r="BC1056" s="85"/>
      <c r="BD1056" s="85"/>
    </row>
    <row r="1057" spans="1:56" s="86" customFormat="1" ht="46.5" customHeight="1">
      <c r="A1057" s="87">
        <v>1052</v>
      </c>
      <c r="B1057" s="90" t="s">
        <v>4356</v>
      </c>
      <c r="C1057" s="88">
        <v>45568</v>
      </c>
      <c r="D1057" s="89">
        <v>0.39583333333333331</v>
      </c>
      <c r="E1057" s="87" t="s">
        <v>58</v>
      </c>
      <c r="F1057" s="87" t="s">
        <v>61</v>
      </c>
      <c r="G1057" s="87" t="s">
        <v>95</v>
      </c>
      <c r="H1057" s="90" t="s">
        <v>4730</v>
      </c>
      <c r="I1057" s="90" t="s">
        <v>64</v>
      </c>
      <c r="J1057" s="87" t="s">
        <v>173</v>
      </c>
      <c r="K1057" s="87"/>
      <c r="L1057" s="90" t="s">
        <v>1317</v>
      </c>
      <c r="M1057" s="91" t="s">
        <v>1317</v>
      </c>
      <c r="N1057" s="90" t="s">
        <v>1317</v>
      </c>
      <c r="O1057" s="90" t="str">
        <f t="shared" si="133"/>
        <v>Distrital</v>
      </c>
      <c r="P1057" s="87" t="s">
        <v>73</v>
      </c>
      <c r="Q1057" s="87"/>
      <c r="R1057" s="87"/>
      <c r="S1057" s="87"/>
      <c r="T1057" s="87"/>
      <c r="U1057" s="87"/>
      <c r="V1057" s="90" t="str">
        <f t="shared" si="137"/>
        <v>Distrital</v>
      </c>
      <c r="W1057" s="87" t="s">
        <v>73</v>
      </c>
      <c r="X1057" s="87"/>
      <c r="Y1057" s="87"/>
      <c r="Z1057" s="87"/>
      <c r="AA1057" s="87"/>
      <c r="AB1057" s="87"/>
      <c r="AC1057" s="90" t="str">
        <f t="shared" si="138"/>
        <v>Distrital</v>
      </c>
      <c r="AD1057" s="87" t="s">
        <v>73</v>
      </c>
      <c r="AE1057" s="87"/>
      <c r="AF1057" s="87"/>
      <c r="AG1057" s="87"/>
      <c r="AH1057" s="87"/>
      <c r="AI1057" s="87"/>
      <c r="AJ1057" s="87"/>
      <c r="AK1057" s="87"/>
      <c r="AL1057" s="87"/>
      <c r="AM1057" s="87"/>
      <c r="AN1057" s="90" t="s">
        <v>160</v>
      </c>
      <c r="AO1057" s="102" t="s">
        <v>2638</v>
      </c>
      <c r="AP1057" s="82"/>
      <c r="AQ1057" s="87" t="s">
        <v>60</v>
      </c>
      <c r="AR1057" s="87" t="s">
        <v>77</v>
      </c>
      <c r="AS1057" s="82"/>
      <c r="AT1057" s="87">
        <v>0</v>
      </c>
      <c r="AU1057" s="87">
        <v>10</v>
      </c>
      <c r="AV1057" s="87">
        <f t="shared" ref="AV1057" si="230">AT1057+AU1057</f>
        <v>10</v>
      </c>
      <c r="AW1057" s="87" t="str">
        <f t="shared" si="229"/>
        <v>Ninguna</v>
      </c>
      <c r="AX1057" s="87" t="s">
        <v>75</v>
      </c>
      <c r="AY1057" s="87"/>
      <c r="AZ1057" s="87"/>
      <c r="BA1057" s="91" t="s">
        <v>4731</v>
      </c>
      <c r="BB1057" s="84"/>
      <c r="BC1057" s="85"/>
      <c r="BD1057" s="85"/>
    </row>
    <row r="1058" spans="1:56" s="86" customFormat="1" ht="46.5" customHeight="1">
      <c r="A1058" s="78">
        <v>1053</v>
      </c>
      <c r="B1058" s="79" t="s">
        <v>4732</v>
      </c>
      <c r="C1058" s="88">
        <v>45568</v>
      </c>
      <c r="D1058" s="89">
        <v>0.41666666666666669</v>
      </c>
      <c r="E1058" s="87" t="s">
        <v>58</v>
      </c>
      <c r="F1058" s="87" t="s">
        <v>1184</v>
      </c>
      <c r="G1058" s="87" t="s">
        <v>62</v>
      </c>
      <c r="H1058" s="90" t="s">
        <v>4733</v>
      </c>
      <c r="I1058" s="90" t="s">
        <v>64</v>
      </c>
      <c r="J1058" s="87" t="s">
        <v>70</v>
      </c>
      <c r="K1058" s="87" t="s">
        <v>324</v>
      </c>
      <c r="L1058" s="90" t="s">
        <v>4734</v>
      </c>
      <c r="M1058" s="91" t="s">
        <v>4735</v>
      </c>
      <c r="N1058" s="90" t="s">
        <v>4736</v>
      </c>
      <c r="O1058" s="90" t="str">
        <f>_xlfn.TEXTJOIN(", ",TRUE,$P1058:$T1058)</f>
        <v>Usaquén</v>
      </c>
      <c r="P1058" s="87" t="s">
        <v>428</v>
      </c>
      <c r="Q1058" s="87"/>
      <c r="R1058" s="87"/>
      <c r="S1058" s="87"/>
      <c r="T1058" s="87"/>
      <c r="U1058" s="87"/>
      <c r="V1058" s="90" t="str">
        <f>_xlfn.TEXTJOIN(", ",TRUE,$W1058:$AB1058)</f>
        <v>Norte</v>
      </c>
      <c r="W1058" s="87" t="s">
        <v>429</v>
      </c>
      <c r="X1058" s="87"/>
      <c r="Y1058" s="87"/>
      <c r="Z1058" s="87"/>
      <c r="AA1058" s="87"/>
      <c r="AB1058" s="87"/>
      <c r="AC1058" s="90" t="str">
        <f>_xlfn.TEXTJOIN(", ",TRUE,$AD1058:$AM1058)</f>
        <v>Usaquén</v>
      </c>
      <c r="AD1058" s="87" t="s">
        <v>428</v>
      </c>
      <c r="AE1058" s="87"/>
      <c r="AF1058" s="87"/>
      <c r="AG1058" s="87"/>
      <c r="AH1058" s="87"/>
      <c r="AI1058" s="87"/>
      <c r="AJ1058" s="87"/>
      <c r="AK1058" s="87"/>
      <c r="AL1058" s="87"/>
      <c r="AM1058" s="87"/>
      <c r="AN1058" s="90" t="s">
        <v>4737</v>
      </c>
      <c r="AO1058" s="90" t="s">
        <v>4738</v>
      </c>
      <c r="AP1058" s="82"/>
      <c r="AQ1058" s="87" t="s">
        <v>59</v>
      </c>
      <c r="AR1058" s="87" t="s">
        <v>80</v>
      </c>
      <c r="AS1058" s="82"/>
      <c r="AT1058" s="87">
        <v>3</v>
      </c>
      <c r="AU1058" s="87">
        <v>7</v>
      </c>
      <c r="AV1058" s="87">
        <f t="shared" si="226"/>
        <v>10</v>
      </c>
      <c r="AW1058" s="87" t="str">
        <f t="shared" si="229"/>
        <v>Horarios Acordes</v>
      </c>
      <c r="AX1058" s="87" t="s">
        <v>213</v>
      </c>
      <c r="AY1058" s="87"/>
      <c r="AZ1058" s="87"/>
      <c r="BA1058" s="91" t="s">
        <v>4739</v>
      </c>
      <c r="BB1058" s="84"/>
      <c r="BC1058" s="85"/>
      <c r="BD1058" s="85"/>
    </row>
    <row r="1059" spans="1:56" s="86" customFormat="1" ht="46.5" customHeight="1">
      <c r="A1059" s="87">
        <v>1054</v>
      </c>
      <c r="B1059" s="90" t="s">
        <v>4740</v>
      </c>
      <c r="C1059" s="88">
        <v>45568</v>
      </c>
      <c r="D1059" s="89">
        <v>0.45833333333333331</v>
      </c>
      <c r="E1059" s="87" t="s">
        <v>58</v>
      </c>
      <c r="F1059" s="87" t="s">
        <v>1184</v>
      </c>
      <c r="G1059" s="87" t="s">
        <v>62</v>
      </c>
      <c r="H1059" s="90" t="s">
        <v>4741</v>
      </c>
      <c r="I1059" s="90" t="s">
        <v>64</v>
      </c>
      <c r="J1059" s="87" t="s">
        <v>70</v>
      </c>
      <c r="K1059" s="87" t="s">
        <v>324</v>
      </c>
      <c r="L1059" s="90" t="s">
        <v>4742</v>
      </c>
      <c r="M1059" s="91" t="s">
        <v>4743</v>
      </c>
      <c r="N1059" s="90" t="s">
        <v>2016</v>
      </c>
      <c r="O1059" s="90" t="str">
        <f>_xlfn.TEXTJOIN(", ",TRUE,$P1059:$T1059)</f>
        <v>Kennedy</v>
      </c>
      <c r="P1059" s="87" t="s">
        <v>473</v>
      </c>
      <c r="Q1059" s="87"/>
      <c r="R1059" s="87"/>
      <c r="S1059" s="87"/>
      <c r="T1059" s="87"/>
      <c r="U1059" s="87"/>
      <c r="V1059" s="90" t="str">
        <f>_xlfn.TEXTJOIN(", ",TRUE,$W1059:$AB1059)</f>
        <v>Suroccidente</v>
      </c>
      <c r="W1059" s="87" t="s">
        <v>474</v>
      </c>
      <c r="X1059" s="87"/>
      <c r="Y1059" s="87"/>
      <c r="Z1059" s="87"/>
      <c r="AA1059" s="87"/>
      <c r="AB1059" s="87"/>
      <c r="AC1059" s="90" t="str">
        <f>_xlfn.TEXTJOIN(", ",TRUE,$AD1059:$AM1059)</f>
        <v>Kennedy</v>
      </c>
      <c r="AD1059" s="87" t="s">
        <v>473</v>
      </c>
      <c r="AE1059" s="87"/>
      <c r="AF1059" s="87"/>
      <c r="AG1059" s="87"/>
      <c r="AH1059" s="87"/>
      <c r="AI1059" s="87"/>
      <c r="AJ1059" s="87"/>
      <c r="AK1059" s="87"/>
      <c r="AL1059" s="87"/>
      <c r="AM1059" s="87"/>
      <c r="AN1059" s="90" t="s">
        <v>473</v>
      </c>
      <c r="AO1059" s="90" t="s">
        <v>2754</v>
      </c>
      <c r="AP1059" s="82"/>
      <c r="AQ1059" s="87" t="s">
        <v>59</v>
      </c>
      <c r="AR1059" s="87" t="s">
        <v>80</v>
      </c>
      <c r="AS1059" s="82"/>
      <c r="AT1059" s="87">
        <v>10</v>
      </c>
      <c r="AU1059" s="87">
        <v>7</v>
      </c>
      <c r="AV1059" s="87">
        <f>AT1059+AU1059</f>
        <v>17</v>
      </c>
      <c r="AW1059" s="87" t="str">
        <f t="shared" si="229"/>
        <v>Ninguna</v>
      </c>
      <c r="AX1059" s="87" t="s">
        <v>75</v>
      </c>
      <c r="AY1059" s="87"/>
      <c r="AZ1059" s="87"/>
      <c r="BA1059" s="91" t="s">
        <v>4744</v>
      </c>
      <c r="BB1059" s="84"/>
      <c r="BC1059" s="85"/>
      <c r="BD1059" s="85"/>
    </row>
    <row r="1060" spans="1:56" s="86" customFormat="1" ht="46.5" customHeight="1">
      <c r="A1060" s="78">
        <v>1055</v>
      </c>
      <c r="B1060" s="90" t="s">
        <v>4745</v>
      </c>
      <c r="C1060" s="88">
        <v>45568</v>
      </c>
      <c r="D1060" s="89">
        <v>0.54166666666666663</v>
      </c>
      <c r="E1060" s="87" t="s">
        <v>58</v>
      </c>
      <c r="F1060" s="87" t="s">
        <v>1184</v>
      </c>
      <c r="G1060" s="87" t="s">
        <v>62</v>
      </c>
      <c r="H1060" s="90" t="s">
        <v>4707</v>
      </c>
      <c r="I1060" s="90" t="s">
        <v>64</v>
      </c>
      <c r="J1060" s="87" t="s">
        <v>70</v>
      </c>
      <c r="K1060" s="87" t="s">
        <v>324</v>
      </c>
      <c r="L1060" s="90" t="s">
        <v>2256</v>
      </c>
      <c r="M1060" s="91" t="s">
        <v>4746</v>
      </c>
      <c r="N1060" s="90" t="s">
        <v>2816</v>
      </c>
      <c r="O1060" s="90" t="str">
        <f>_xlfn.TEXTJOIN(", ",TRUE,$P1060:$T1060)</f>
        <v>Los Mártires</v>
      </c>
      <c r="P1060" s="87" t="s">
        <v>542</v>
      </c>
      <c r="Q1060" s="87"/>
      <c r="R1060" s="87"/>
      <c r="S1060" s="87"/>
      <c r="T1060" s="87"/>
      <c r="U1060" s="87"/>
      <c r="V1060" s="90" t="str">
        <f>_xlfn.TEXTJOIN(", ",TRUE,$W1060:$AB1060)</f>
        <v>Centro Ampliado</v>
      </c>
      <c r="W1060" s="87" t="s">
        <v>415</v>
      </c>
      <c r="X1060" s="87"/>
      <c r="Y1060" s="87"/>
      <c r="Z1060" s="87"/>
      <c r="AA1060" s="87"/>
      <c r="AB1060" s="87"/>
      <c r="AC1060" s="90" t="str">
        <f>_xlfn.TEXTJOIN(", ",TRUE,$AD1060:$AM1060)</f>
        <v>Centro Histórico</v>
      </c>
      <c r="AD1060" s="87" t="s">
        <v>488</v>
      </c>
      <c r="AE1060" s="87"/>
      <c r="AF1060" s="87"/>
      <c r="AG1060" s="87"/>
      <c r="AH1060" s="87"/>
      <c r="AI1060" s="87"/>
      <c r="AJ1060" s="87"/>
      <c r="AK1060" s="87"/>
      <c r="AL1060" s="87"/>
      <c r="AM1060" s="87"/>
      <c r="AN1060" s="90" t="s">
        <v>4747</v>
      </c>
      <c r="AO1060" s="90" t="s">
        <v>4748</v>
      </c>
      <c r="AP1060" s="82"/>
      <c r="AQ1060" s="87" t="s">
        <v>59</v>
      </c>
      <c r="AR1060" s="87" t="s">
        <v>80</v>
      </c>
      <c r="AS1060" s="82"/>
      <c r="AT1060" s="87">
        <v>9</v>
      </c>
      <c r="AU1060" s="87">
        <v>6</v>
      </c>
      <c r="AV1060" s="87">
        <f t="shared" si="226"/>
        <v>15</v>
      </c>
      <c r="AW1060" s="87" t="str">
        <f>_xlfn.TEXTJOIN(", ",TRUE,$AX1060:$AZ1060)</f>
        <v>Ninguna</v>
      </c>
      <c r="AX1060" s="87" t="s">
        <v>75</v>
      </c>
      <c r="AY1060" s="87"/>
      <c r="AZ1060" s="87"/>
      <c r="BA1060" s="91" t="s">
        <v>4749</v>
      </c>
      <c r="BB1060" s="84"/>
      <c r="BC1060" s="85"/>
      <c r="BD1060" s="85"/>
    </row>
    <row r="1061" spans="1:56" s="86" customFormat="1" ht="46.5" customHeight="1">
      <c r="A1061" s="87">
        <v>1056</v>
      </c>
      <c r="B1061" s="90" t="s">
        <v>517</v>
      </c>
      <c r="C1061" s="88">
        <v>45568</v>
      </c>
      <c r="D1061" s="89">
        <v>0.58333333333333337</v>
      </c>
      <c r="E1061" s="87" t="s">
        <v>93</v>
      </c>
      <c r="F1061" s="87" t="s">
        <v>321</v>
      </c>
      <c r="G1061" s="87" t="s">
        <v>62</v>
      </c>
      <c r="H1061" s="90" t="s">
        <v>4750</v>
      </c>
      <c r="I1061" s="90" t="s">
        <v>118</v>
      </c>
      <c r="J1061" s="87" t="s">
        <v>70</v>
      </c>
      <c r="K1061" s="87" t="s">
        <v>1810</v>
      </c>
      <c r="L1061" s="90" t="s">
        <v>4751</v>
      </c>
      <c r="M1061" s="91" t="s">
        <v>4752</v>
      </c>
      <c r="N1061" s="90" t="s">
        <v>2511</v>
      </c>
      <c r="O1061" s="90" t="str">
        <f>_xlfn.TEXTJOIN(", ",TRUE,$P1061:$T1061)</f>
        <v>San Cristóbal</v>
      </c>
      <c r="P1061" s="87" t="s">
        <v>370</v>
      </c>
      <c r="Q1061" s="87"/>
      <c r="R1061" s="87"/>
      <c r="S1061" s="87"/>
      <c r="T1061" s="87"/>
      <c r="U1061" s="87"/>
      <c r="V1061" s="90" t="str">
        <f>_xlfn.TEXTJOIN(", ",TRUE,$W1061:$AB1061)</f>
        <v>Suroriente</v>
      </c>
      <c r="W1061" s="87" t="s">
        <v>108</v>
      </c>
      <c r="X1061" s="87"/>
      <c r="Y1061" s="87"/>
      <c r="Z1061" s="87"/>
      <c r="AA1061" s="87"/>
      <c r="AB1061" s="87"/>
      <c r="AC1061" s="90" t="str">
        <f>_xlfn.TEXTJOIN(", ",TRUE,$AD1061:$AM1061)</f>
        <v>San Cristobal</v>
      </c>
      <c r="AD1061" s="87" t="s">
        <v>371</v>
      </c>
      <c r="AE1061" s="87"/>
      <c r="AF1061" s="87"/>
      <c r="AG1061" s="87"/>
      <c r="AH1061" s="87"/>
      <c r="AI1061" s="87"/>
      <c r="AJ1061" s="87"/>
      <c r="AK1061" s="87"/>
      <c r="AL1061" s="87"/>
      <c r="AM1061" s="87"/>
      <c r="AN1061" s="90" t="s">
        <v>371</v>
      </c>
      <c r="AO1061" s="90" t="s">
        <v>4753</v>
      </c>
      <c r="AP1061" s="82"/>
      <c r="AQ1061" s="87" t="s">
        <v>59</v>
      </c>
      <c r="AR1061" s="87" t="s">
        <v>80</v>
      </c>
      <c r="AS1061" s="82"/>
      <c r="AT1061" s="87">
        <v>23</v>
      </c>
      <c r="AU1061" s="87">
        <v>1</v>
      </c>
      <c r="AV1061" s="87">
        <f t="shared" si="226"/>
        <v>24</v>
      </c>
      <c r="AW1061" s="87" t="str">
        <f>_xlfn.TEXTJOIN(", ",TRUE,$AX1061:$AZ1061)</f>
        <v>Ninguna</v>
      </c>
      <c r="AX1061" s="87" t="s">
        <v>75</v>
      </c>
      <c r="AY1061" s="87"/>
      <c r="AZ1061" s="87"/>
      <c r="BA1061" s="91" t="s">
        <v>4754</v>
      </c>
      <c r="BB1061" s="84"/>
      <c r="BC1061" s="85"/>
      <c r="BD1061" s="85"/>
    </row>
    <row r="1062" spans="1:56" s="86" customFormat="1" ht="46.5" customHeight="1">
      <c r="A1062" s="78">
        <v>1057</v>
      </c>
      <c r="B1062" s="90" t="s">
        <v>4755</v>
      </c>
      <c r="C1062" s="88">
        <v>45568</v>
      </c>
      <c r="D1062" s="89">
        <v>0.58333333333333337</v>
      </c>
      <c r="E1062" s="87" t="s">
        <v>58</v>
      </c>
      <c r="F1062" s="87" t="s">
        <v>2121</v>
      </c>
      <c r="G1062" s="87" t="s">
        <v>95</v>
      </c>
      <c r="H1062" s="90" t="s">
        <v>4756</v>
      </c>
      <c r="I1062" s="90" t="s">
        <v>118</v>
      </c>
      <c r="J1062" s="87" t="s">
        <v>70</v>
      </c>
      <c r="K1062" s="87" t="s">
        <v>71</v>
      </c>
      <c r="L1062" s="90" t="s">
        <v>1317</v>
      </c>
      <c r="M1062" s="91" t="s">
        <v>72</v>
      </c>
      <c r="N1062" s="90" t="s">
        <v>1317</v>
      </c>
      <c r="O1062" s="90" t="str">
        <f t="shared" si="133"/>
        <v>Distrital</v>
      </c>
      <c r="P1062" s="87" t="s">
        <v>73</v>
      </c>
      <c r="Q1062" s="87"/>
      <c r="R1062" s="87"/>
      <c r="S1062" s="87"/>
      <c r="T1062" s="87"/>
      <c r="U1062" s="87"/>
      <c r="V1062" s="90" t="str">
        <f t="shared" si="137"/>
        <v>Distrital</v>
      </c>
      <c r="W1062" s="87" t="s">
        <v>73</v>
      </c>
      <c r="X1062" s="87"/>
      <c r="Y1062" s="87"/>
      <c r="Z1062" s="87"/>
      <c r="AA1062" s="87"/>
      <c r="AB1062" s="87"/>
      <c r="AC1062" s="90" t="str">
        <f t="shared" si="138"/>
        <v>Distrital</v>
      </c>
      <c r="AD1062" s="87" t="s">
        <v>73</v>
      </c>
      <c r="AE1062" s="87"/>
      <c r="AF1062" s="87"/>
      <c r="AG1062" s="87"/>
      <c r="AH1062" s="87"/>
      <c r="AI1062" s="87"/>
      <c r="AJ1062" s="87"/>
      <c r="AK1062" s="87"/>
      <c r="AL1062" s="87"/>
      <c r="AM1062" s="87"/>
      <c r="AN1062" s="90" t="s">
        <v>80</v>
      </c>
      <c r="AO1062" s="105" t="s">
        <v>2638</v>
      </c>
      <c r="AP1062" s="82"/>
      <c r="AQ1062" s="87" t="s">
        <v>59</v>
      </c>
      <c r="AR1062" s="87" t="s">
        <v>80</v>
      </c>
      <c r="AS1062" s="82"/>
      <c r="AT1062" s="87">
        <v>1</v>
      </c>
      <c r="AU1062" s="87">
        <v>2</v>
      </c>
      <c r="AV1062" s="87">
        <f t="shared" ref="AV1062" si="231">AT1062+AU1062</f>
        <v>3</v>
      </c>
      <c r="AW1062" s="87" t="str">
        <f t="shared" ref="AW1062" si="232">_xlfn.TEXTJOIN(", ",TRUE,$AX1062:$AZ1062)</f>
        <v>Accesibilidad Universal, Horarios Acordes</v>
      </c>
      <c r="AX1062" s="87" t="s">
        <v>246</v>
      </c>
      <c r="AY1062" s="87" t="s">
        <v>213</v>
      </c>
      <c r="AZ1062" s="87"/>
      <c r="BA1062" s="91" t="s">
        <v>4757</v>
      </c>
      <c r="BB1062" s="84"/>
      <c r="BC1062" s="85"/>
      <c r="BD1062" s="85"/>
    </row>
    <row r="1063" spans="1:56" s="86" customFormat="1" ht="46.5" customHeight="1">
      <c r="A1063" s="87">
        <v>1058</v>
      </c>
      <c r="B1063" s="90" t="s">
        <v>4758</v>
      </c>
      <c r="C1063" s="88">
        <v>45568</v>
      </c>
      <c r="D1063" s="89">
        <v>0.58333333333333337</v>
      </c>
      <c r="E1063" s="87" t="s">
        <v>58</v>
      </c>
      <c r="F1063" s="87" t="s">
        <v>1184</v>
      </c>
      <c r="G1063" s="87" t="s">
        <v>62</v>
      </c>
      <c r="H1063" s="90" t="s">
        <v>4741</v>
      </c>
      <c r="I1063" s="90" t="s">
        <v>64</v>
      </c>
      <c r="J1063" s="87" t="s">
        <v>70</v>
      </c>
      <c r="K1063" s="87" t="s">
        <v>324</v>
      </c>
      <c r="L1063" s="90" t="s">
        <v>2558</v>
      </c>
      <c r="M1063" s="91">
        <v>3105637717</v>
      </c>
      <c r="N1063" s="90" t="s">
        <v>2560</v>
      </c>
      <c r="O1063" s="90" t="str">
        <f t="shared" si="133"/>
        <v>Ciudad Bolívar</v>
      </c>
      <c r="P1063" s="87" t="s">
        <v>107</v>
      </c>
      <c r="Q1063" s="87"/>
      <c r="R1063" s="87"/>
      <c r="S1063" s="87"/>
      <c r="T1063" s="87"/>
      <c r="U1063" s="87"/>
      <c r="V1063" s="90" t="str">
        <f t="shared" si="137"/>
        <v>Suroriente</v>
      </c>
      <c r="W1063" s="87" t="s">
        <v>108</v>
      </c>
      <c r="X1063" s="87"/>
      <c r="Y1063" s="87"/>
      <c r="Z1063" s="87"/>
      <c r="AA1063" s="87"/>
      <c r="AB1063" s="87"/>
      <c r="AC1063" s="90" t="str">
        <f t="shared" si="138"/>
        <v>Lucero</v>
      </c>
      <c r="AD1063" s="87" t="s">
        <v>111</v>
      </c>
      <c r="AE1063" s="87"/>
      <c r="AF1063" s="87"/>
      <c r="AG1063" s="87"/>
      <c r="AH1063" s="87"/>
      <c r="AI1063" s="87"/>
      <c r="AJ1063" s="87"/>
      <c r="AK1063" s="87"/>
      <c r="AL1063" s="87"/>
      <c r="AM1063" s="87"/>
      <c r="AN1063" s="90" t="s">
        <v>4759</v>
      </c>
      <c r="AO1063" s="90" t="s">
        <v>4760</v>
      </c>
      <c r="AP1063" s="82"/>
      <c r="AQ1063" s="87" t="s">
        <v>59</v>
      </c>
      <c r="AR1063" s="87" t="s">
        <v>80</v>
      </c>
      <c r="AS1063" s="82"/>
      <c r="AT1063" s="87">
        <v>9</v>
      </c>
      <c r="AU1063" s="87">
        <v>8</v>
      </c>
      <c r="AV1063" s="87">
        <f t="shared" ref="AV1063:AV1064" si="233">AT1063+AU1063</f>
        <v>17</v>
      </c>
      <c r="AW1063" s="87" t="str">
        <f t="shared" si="54"/>
        <v>Ninguna</v>
      </c>
      <c r="AX1063" s="87" t="s">
        <v>75</v>
      </c>
      <c r="AY1063" s="87"/>
      <c r="AZ1063" s="87"/>
      <c r="BA1063" s="91" t="s">
        <v>4761</v>
      </c>
      <c r="BB1063" s="84"/>
      <c r="BC1063" s="85"/>
      <c r="BD1063" s="85"/>
    </row>
    <row r="1064" spans="1:56" s="86" customFormat="1" ht="46.5" customHeight="1">
      <c r="A1064" s="78">
        <v>1059</v>
      </c>
      <c r="B1064" s="79" t="s">
        <v>4762</v>
      </c>
      <c r="C1064" s="88">
        <v>45568</v>
      </c>
      <c r="D1064" s="89">
        <v>0.58333333333333337</v>
      </c>
      <c r="E1064" s="87" t="s">
        <v>58</v>
      </c>
      <c r="F1064" s="87" t="s">
        <v>149</v>
      </c>
      <c r="G1064" s="87" t="s">
        <v>62</v>
      </c>
      <c r="H1064" s="90" t="s">
        <v>4763</v>
      </c>
      <c r="I1064" s="90" t="s">
        <v>64</v>
      </c>
      <c r="J1064" s="87" t="s">
        <v>173</v>
      </c>
      <c r="K1064" s="87"/>
      <c r="L1064" s="90" t="s">
        <v>1317</v>
      </c>
      <c r="M1064" s="90" t="s">
        <v>1317</v>
      </c>
      <c r="N1064" s="90" t="s">
        <v>1317</v>
      </c>
      <c r="O1064" s="90" t="str">
        <f t="shared" si="133"/>
        <v>Distrital</v>
      </c>
      <c r="P1064" s="87" t="s">
        <v>73</v>
      </c>
      <c r="Q1064" s="87"/>
      <c r="R1064" s="87"/>
      <c r="S1064" s="87"/>
      <c r="T1064" s="87"/>
      <c r="U1064" s="87"/>
      <c r="V1064" s="90" t="str">
        <f t="shared" si="137"/>
        <v>Distrital</v>
      </c>
      <c r="W1064" s="87" t="s">
        <v>73</v>
      </c>
      <c r="X1064" s="87"/>
      <c r="Y1064" s="87"/>
      <c r="Z1064" s="87"/>
      <c r="AA1064" s="87"/>
      <c r="AB1064" s="87"/>
      <c r="AC1064" s="90" t="str">
        <f t="shared" si="138"/>
        <v>Distrital</v>
      </c>
      <c r="AD1064" s="87" t="s">
        <v>73</v>
      </c>
      <c r="AE1064" s="87"/>
      <c r="AF1064" s="87"/>
      <c r="AG1064" s="87"/>
      <c r="AH1064" s="87"/>
      <c r="AI1064" s="87"/>
      <c r="AJ1064" s="87"/>
      <c r="AK1064" s="87"/>
      <c r="AL1064" s="87"/>
      <c r="AM1064" s="87"/>
      <c r="AN1064" s="90" t="s">
        <v>80</v>
      </c>
      <c r="AO1064" s="90" t="s">
        <v>4764</v>
      </c>
      <c r="AP1064" s="82"/>
      <c r="AQ1064" s="87" t="s">
        <v>59</v>
      </c>
      <c r="AR1064" s="87" t="s">
        <v>80</v>
      </c>
      <c r="AS1064" s="82"/>
      <c r="AT1064" s="87">
        <v>0</v>
      </c>
      <c r="AU1064" s="87">
        <v>3</v>
      </c>
      <c r="AV1064" s="87">
        <f t="shared" si="233"/>
        <v>3</v>
      </c>
      <c r="AW1064" s="87" t="str">
        <f t="shared" ref="AW1064:AW1069" si="234">_xlfn.TEXTJOIN(", ",TRUE,$AX1064:$AZ1064)</f>
        <v>Ninguna</v>
      </c>
      <c r="AX1064" s="87" t="s">
        <v>75</v>
      </c>
      <c r="AY1064" s="87"/>
      <c r="AZ1064" s="87"/>
      <c r="BA1064" s="91" t="s">
        <v>4765</v>
      </c>
      <c r="BB1064" s="84"/>
      <c r="BC1064" s="85"/>
      <c r="BD1064" s="85"/>
    </row>
    <row r="1065" spans="1:56" s="86" customFormat="1" ht="46.5" customHeight="1">
      <c r="A1065" s="87">
        <v>1060</v>
      </c>
      <c r="B1065" s="79" t="s">
        <v>4766</v>
      </c>
      <c r="C1065" s="88">
        <v>45568</v>
      </c>
      <c r="D1065" s="89">
        <v>0.625</v>
      </c>
      <c r="E1065" s="87" t="s">
        <v>58</v>
      </c>
      <c r="F1065" s="87" t="s">
        <v>116</v>
      </c>
      <c r="G1065" s="87" t="s">
        <v>62</v>
      </c>
      <c r="H1065" s="90" t="s">
        <v>4767</v>
      </c>
      <c r="I1065" s="90" t="s">
        <v>64</v>
      </c>
      <c r="J1065" s="87" t="s">
        <v>70</v>
      </c>
      <c r="K1065" s="87" t="s">
        <v>324</v>
      </c>
      <c r="L1065" s="90" t="s">
        <v>4768</v>
      </c>
      <c r="M1065" s="91" t="s">
        <v>72</v>
      </c>
      <c r="N1065" s="90" t="s">
        <v>4769</v>
      </c>
      <c r="O1065" s="90" t="str">
        <f>_xlfn.TEXTJOIN(", ",TRUE,$P1065:$T1065)</f>
        <v>Barrios Unidos</v>
      </c>
      <c r="P1065" s="87" t="s">
        <v>686</v>
      </c>
      <c r="Q1065" s="87"/>
      <c r="R1065" s="87"/>
      <c r="S1065" s="87"/>
      <c r="T1065" s="87"/>
      <c r="U1065" s="87"/>
      <c r="V1065" s="90" t="str">
        <f>_xlfn.TEXTJOIN(", ",TRUE,$W1065:$AB1065)</f>
        <v>Centro Ampliado</v>
      </c>
      <c r="W1065" s="87" t="s">
        <v>415</v>
      </c>
      <c r="X1065" s="87"/>
      <c r="Y1065" s="87"/>
      <c r="Z1065" s="87"/>
      <c r="AA1065" s="87"/>
      <c r="AB1065" s="87"/>
      <c r="AC1065" s="90" t="str">
        <f>_xlfn.TEXTJOIN(", ",TRUE,$AD1065:$AM1065)</f>
        <v>Barrios Unidos</v>
      </c>
      <c r="AD1065" s="87" t="s">
        <v>686</v>
      </c>
      <c r="AE1065" s="87"/>
      <c r="AF1065" s="87"/>
      <c r="AG1065" s="87"/>
      <c r="AH1065" s="87"/>
      <c r="AI1065" s="87"/>
      <c r="AJ1065" s="87"/>
      <c r="AK1065" s="87"/>
      <c r="AL1065" s="87"/>
      <c r="AM1065" s="87"/>
      <c r="AN1065" s="90" t="s">
        <v>4770</v>
      </c>
      <c r="AO1065" s="90" t="s">
        <v>4771</v>
      </c>
      <c r="AP1065" s="82"/>
      <c r="AQ1065" s="87" t="s">
        <v>59</v>
      </c>
      <c r="AR1065" s="87" t="s">
        <v>80</v>
      </c>
      <c r="AS1065" s="82"/>
      <c r="AT1065" s="87">
        <v>2</v>
      </c>
      <c r="AU1065" s="87">
        <v>8</v>
      </c>
      <c r="AV1065" s="87">
        <f t="shared" si="226"/>
        <v>10</v>
      </c>
      <c r="AW1065" s="87" t="str">
        <f t="shared" si="234"/>
        <v>Ninguna</v>
      </c>
      <c r="AX1065" s="87" t="s">
        <v>75</v>
      </c>
      <c r="AY1065" s="87"/>
      <c r="AZ1065" s="87"/>
      <c r="BA1065" s="91" t="s">
        <v>4772</v>
      </c>
      <c r="BB1065" s="84"/>
      <c r="BC1065" s="85"/>
      <c r="BD1065" s="85"/>
    </row>
    <row r="1066" spans="1:56" s="86" customFormat="1" ht="46.5" customHeight="1">
      <c r="A1066" s="78">
        <v>1061</v>
      </c>
      <c r="B1066" s="79" t="s">
        <v>4773</v>
      </c>
      <c r="C1066" s="88">
        <v>45568</v>
      </c>
      <c r="D1066" s="89">
        <v>0.625</v>
      </c>
      <c r="E1066" s="87" t="s">
        <v>58</v>
      </c>
      <c r="F1066" s="87" t="s">
        <v>1142</v>
      </c>
      <c r="G1066" s="87" t="s">
        <v>62</v>
      </c>
      <c r="H1066" s="90" t="s">
        <v>4774</v>
      </c>
      <c r="I1066" s="90" t="s">
        <v>118</v>
      </c>
      <c r="J1066" s="87" t="s">
        <v>173</v>
      </c>
      <c r="K1066" s="87"/>
      <c r="L1066" s="90" t="s">
        <v>1144</v>
      </c>
      <c r="M1066" s="91" t="s">
        <v>3747</v>
      </c>
      <c r="N1066" s="90" t="s">
        <v>1145</v>
      </c>
      <c r="O1066" s="90" t="str">
        <f>_xlfn.TEXTJOIN(", ",TRUE,$P1066:$T1066)</f>
        <v>Distrital</v>
      </c>
      <c r="P1066" s="87" t="s">
        <v>73</v>
      </c>
      <c r="Q1066" s="87"/>
      <c r="R1066" s="87"/>
      <c r="S1066" s="87"/>
      <c r="T1066" s="87"/>
      <c r="U1066" s="87"/>
      <c r="V1066" s="90" t="str">
        <f>_xlfn.TEXTJOIN(", ",TRUE,$W1066:$AB1066)</f>
        <v>Distrital</v>
      </c>
      <c r="W1066" s="87" t="s">
        <v>73</v>
      </c>
      <c r="X1066" s="87"/>
      <c r="Y1066" s="87"/>
      <c r="Z1066" s="87"/>
      <c r="AA1066" s="87"/>
      <c r="AB1066" s="87"/>
      <c r="AC1066" s="90" t="str">
        <f>_xlfn.TEXTJOIN(", ",TRUE,$AD1066:$AM1066)</f>
        <v>Distrital</v>
      </c>
      <c r="AD1066" s="87" t="s">
        <v>73</v>
      </c>
      <c r="AE1066" s="87"/>
      <c r="AF1066" s="87"/>
      <c r="AG1066" s="87"/>
      <c r="AH1066" s="87"/>
      <c r="AI1066" s="87"/>
      <c r="AJ1066" s="87"/>
      <c r="AK1066" s="87"/>
      <c r="AL1066" s="87"/>
      <c r="AM1066" s="87"/>
      <c r="AN1066" s="90" t="s">
        <v>1746</v>
      </c>
      <c r="AO1066" s="90" t="s">
        <v>4775</v>
      </c>
      <c r="AP1066" s="82"/>
      <c r="AQ1066" s="87" t="s">
        <v>59</v>
      </c>
      <c r="AR1066" s="87" t="s">
        <v>80</v>
      </c>
      <c r="AS1066" s="82"/>
      <c r="AT1066" s="87">
        <v>7</v>
      </c>
      <c r="AU1066" s="87">
        <v>1</v>
      </c>
      <c r="AV1066" s="87">
        <f>AT1066+AU1066</f>
        <v>8</v>
      </c>
      <c r="AW1066" s="87" t="str">
        <f t="shared" si="234"/>
        <v>Ninguna</v>
      </c>
      <c r="AX1066" s="87" t="s">
        <v>75</v>
      </c>
      <c r="AY1066" s="87"/>
      <c r="AZ1066" s="87"/>
      <c r="BA1066" s="91" t="s">
        <v>4776</v>
      </c>
      <c r="BB1066" s="84"/>
      <c r="BC1066" s="85"/>
      <c r="BD1066" s="85"/>
    </row>
    <row r="1067" spans="1:56" s="86" customFormat="1" ht="46.5" customHeight="1">
      <c r="A1067" s="87">
        <v>1062</v>
      </c>
      <c r="B1067" s="79" t="s">
        <v>4777</v>
      </c>
      <c r="C1067" s="88">
        <v>45568</v>
      </c>
      <c r="D1067" s="89">
        <v>0.66666666666666663</v>
      </c>
      <c r="E1067" s="87" t="s">
        <v>58</v>
      </c>
      <c r="F1067" s="87" t="s">
        <v>1184</v>
      </c>
      <c r="G1067" s="87" t="s">
        <v>62</v>
      </c>
      <c r="H1067" s="90" t="s">
        <v>4778</v>
      </c>
      <c r="I1067" s="90" t="s">
        <v>64</v>
      </c>
      <c r="J1067" s="87" t="s">
        <v>70</v>
      </c>
      <c r="K1067" s="87" t="s">
        <v>324</v>
      </c>
      <c r="L1067" s="90" t="s">
        <v>4768</v>
      </c>
      <c r="M1067" s="91" t="s">
        <v>1317</v>
      </c>
      <c r="N1067" s="90" t="s">
        <v>4769</v>
      </c>
      <c r="O1067" s="90" t="str">
        <f>_xlfn.TEXTJOIN(", ",TRUE,$P1067:$T1067)</f>
        <v>Barrios Unidos</v>
      </c>
      <c r="P1067" s="87" t="s">
        <v>686</v>
      </c>
      <c r="Q1067" s="87"/>
      <c r="R1067" s="87"/>
      <c r="S1067" s="87"/>
      <c r="T1067" s="87"/>
      <c r="U1067" s="87"/>
      <c r="V1067" s="90" t="str">
        <f>_xlfn.TEXTJOIN(", ",TRUE,$W1067:$AB1067)</f>
        <v>Centro Ampliado</v>
      </c>
      <c r="W1067" s="87" t="s">
        <v>415</v>
      </c>
      <c r="X1067" s="87"/>
      <c r="Y1067" s="87"/>
      <c r="Z1067" s="87"/>
      <c r="AA1067" s="87"/>
      <c r="AB1067" s="87"/>
      <c r="AC1067" s="90" t="str">
        <f>_xlfn.TEXTJOIN(", ",TRUE,$AD1067:$AM1067)</f>
        <v>Barrios Unidos</v>
      </c>
      <c r="AD1067" s="87" t="s">
        <v>686</v>
      </c>
      <c r="AE1067" s="87"/>
      <c r="AF1067" s="87"/>
      <c r="AG1067" s="87"/>
      <c r="AH1067" s="87"/>
      <c r="AI1067" s="87"/>
      <c r="AJ1067" s="87"/>
      <c r="AK1067" s="87"/>
      <c r="AL1067" s="87"/>
      <c r="AM1067" s="87"/>
      <c r="AN1067" s="90" t="s">
        <v>4779</v>
      </c>
      <c r="AO1067" s="90" t="s">
        <v>4780</v>
      </c>
      <c r="AP1067" s="82"/>
      <c r="AQ1067" s="87" t="s">
        <v>59</v>
      </c>
      <c r="AR1067" s="87" t="s">
        <v>80</v>
      </c>
      <c r="AS1067" s="82"/>
      <c r="AT1067" s="87">
        <v>2</v>
      </c>
      <c r="AU1067" s="87">
        <v>6</v>
      </c>
      <c r="AV1067" s="87">
        <f t="shared" si="226"/>
        <v>8</v>
      </c>
      <c r="AW1067" s="87" t="str">
        <f t="shared" si="234"/>
        <v>Ninguna</v>
      </c>
      <c r="AX1067" s="87" t="s">
        <v>75</v>
      </c>
      <c r="AY1067" s="87"/>
      <c r="AZ1067" s="87"/>
      <c r="BA1067" s="91" t="s">
        <v>4781</v>
      </c>
      <c r="BB1067" s="84"/>
      <c r="BC1067" s="85"/>
      <c r="BD1067" s="85"/>
    </row>
    <row r="1068" spans="1:56" s="86" customFormat="1" ht="46.5" customHeight="1">
      <c r="A1068" s="78">
        <v>1063</v>
      </c>
      <c r="B1068" s="79" t="s">
        <v>4782</v>
      </c>
      <c r="C1068" s="88">
        <v>45568</v>
      </c>
      <c r="D1068" s="89">
        <v>0.66666666666666663</v>
      </c>
      <c r="E1068" s="87" t="s">
        <v>58</v>
      </c>
      <c r="F1068" s="87" t="s">
        <v>116</v>
      </c>
      <c r="G1068" s="87" t="s">
        <v>62</v>
      </c>
      <c r="H1068" s="90" t="s">
        <v>4445</v>
      </c>
      <c r="I1068" s="90" t="s">
        <v>118</v>
      </c>
      <c r="J1068" s="87" t="s">
        <v>119</v>
      </c>
      <c r="K1068" s="87" t="s">
        <v>610</v>
      </c>
      <c r="L1068" s="90" t="s">
        <v>4783</v>
      </c>
      <c r="M1068" s="91" t="s">
        <v>4205</v>
      </c>
      <c r="N1068" s="90" t="s">
        <v>4394</v>
      </c>
      <c r="O1068" s="90" t="str">
        <f>_xlfn.TEXTJOIN(", ",TRUE,$P1068:$T1068)</f>
        <v>Los Mártires</v>
      </c>
      <c r="P1068" s="87" t="s">
        <v>542</v>
      </c>
      <c r="Q1068" s="87"/>
      <c r="R1068" s="87"/>
      <c r="S1068" s="87"/>
      <c r="T1068" s="87"/>
      <c r="U1068" s="87"/>
      <c r="V1068" s="90" t="str">
        <f>_xlfn.TEXTJOIN(", ",TRUE,$W1068:$AB1068)</f>
        <v>Centro Ampliado</v>
      </c>
      <c r="W1068" s="87" t="s">
        <v>415</v>
      </c>
      <c r="X1068" s="87"/>
      <c r="Y1068" s="87"/>
      <c r="Z1068" s="87"/>
      <c r="AA1068" s="87"/>
      <c r="AB1068" s="87"/>
      <c r="AC1068" s="90" t="str">
        <f>_xlfn.TEXTJOIN(", ",TRUE,$AD1068:$AM1068)</f>
        <v>Centro Histórico</v>
      </c>
      <c r="AD1068" s="87" t="s">
        <v>488</v>
      </c>
      <c r="AE1068" s="87"/>
      <c r="AF1068" s="87"/>
      <c r="AG1068" s="87"/>
      <c r="AH1068" s="87"/>
      <c r="AI1068" s="87"/>
      <c r="AJ1068" s="87"/>
      <c r="AK1068" s="87"/>
      <c r="AL1068" s="87"/>
      <c r="AM1068" s="87"/>
      <c r="AN1068" s="90" t="s">
        <v>4784</v>
      </c>
      <c r="AO1068" s="90" t="s">
        <v>4785</v>
      </c>
      <c r="AP1068" s="82"/>
      <c r="AQ1068" s="87" t="s">
        <v>59</v>
      </c>
      <c r="AR1068" s="87" t="s">
        <v>80</v>
      </c>
      <c r="AS1068" s="82"/>
      <c r="AT1068" s="87">
        <v>26</v>
      </c>
      <c r="AU1068" s="87">
        <v>1</v>
      </c>
      <c r="AV1068" s="87">
        <f t="shared" si="226"/>
        <v>27</v>
      </c>
      <c r="AW1068" s="87" t="str">
        <f t="shared" si="234"/>
        <v>Ninguna</v>
      </c>
      <c r="AX1068" s="87" t="s">
        <v>75</v>
      </c>
      <c r="AY1068" s="87"/>
      <c r="AZ1068" s="87"/>
      <c r="BA1068" s="140" t="s">
        <v>4786</v>
      </c>
      <c r="BB1068" s="84"/>
      <c r="BC1068" s="85"/>
      <c r="BD1068" s="85"/>
    </row>
    <row r="1069" spans="1:56" s="86" customFormat="1" ht="66" customHeight="1">
      <c r="A1069" s="87">
        <v>1064</v>
      </c>
      <c r="B1069" s="79" t="s">
        <v>4787</v>
      </c>
      <c r="C1069" s="88">
        <v>45569</v>
      </c>
      <c r="D1069" s="89">
        <v>0.375</v>
      </c>
      <c r="E1069" s="87" t="s">
        <v>58</v>
      </c>
      <c r="F1069" s="87" t="s">
        <v>149</v>
      </c>
      <c r="G1069" s="87" t="s">
        <v>62</v>
      </c>
      <c r="H1069" s="90" t="s">
        <v>4788</v>
      </c>
      <c r="I1069" s="90" t="s">
        <v>118</v>
      </c>
      <c r="J1069" s="87" t="s">
        <v>119</v>
      </c>
      <c r="K1069" s="87" t="s">
        <v>1322</v>
      </c>
      <c r="L1069" s="90" t="s">
        <v>4239</v>
      </c>
      <c r="M1069" s="91" t="s">
        <v>4789</v>
      </c>
      <c r="N1069" s="90" t="s">
        <v>4240</v>
      </c>
      <c r="O1069" s="90" t="str">
        <f t="shared" si="133"/>
        <v>San Cristóbal</v>
      </c>
      <c r="P1069" s="87" t="s">
        <v>370</v>
      </c>
      <c r="Q1069" s="87"/>
      <c r="R1069" s="87"/>
      <c r="S1069" s="87"/>
      <c r="T1069" s="87"/>
      <c r="U1069" s="87"/>
      <c r="V1069" s="90" t="str">
        <f t="shared" si="137"/>
        <v>Suroriente</v>
      </c>
      <c r="W1069" s="87" t="s">
        <v>108</v>
      </c>
      <c r="X1069" s="87"/>
      <c r="Y1069" s="87"/>
      <c r="Z1069" s="87"/>
      <c r="AA1069" s="87"/>
      <c r="AB1069" s="87"/>
      <c r="AC1069" s="90" t="str">
        <f t="shared" si="138"/>
        <v>San Cristobal</v>
      </c>
      <c r="AD1069" s="87" t="s">
        <v>371</v>
      </c>
      <c r="AE1069" s="87"/>
      <c r="AF1069" s="87"/>
      <c r="AG1069" s="87"/>
      <c r="AH1069" s="87"/>
      <c r="AI1069" s="87"/>
      <c r="AJ1069" s="87"/>
      <c r="AK1069" s="87"/>
      <c r="AL1069" s="87"/>
      <c r="AM1069" s="87"/>
      <c r="AN1069" s="90" t="s">
        <v>371</v>
      </c>
      <c r="AO1069" s="90" t="s">
        <v>4790</v>
      </c>
      <c r="AP1069" s="82"/>
      <c r="AQ1069" s="87" t="s">
        <v>59</v>
      </c>
      <c r="AR1069" s="87" t="s">
        <v>80</v>
      </c>
      <c r="AS1069" s="82"/>
      <c r="AT1069" s="87">
        <v>32</v>
      </c>
      <c r="AU1069" s="87">
        <v>1</v>
      </c>
      <c r="AV1069" s="87">
        <f t="shared" si="226"/>
        <v>33</v>
      </c>
      <c r="AW1069" s="87" t="str">
        <f t="shared" si="234"/>
        <v>Ninguna</v>
      </c>
      <c r="AX1069" s="87" t="s">
        <v>75</v>
      </c>
      <c r="AY1069" s="87"/>
      <c r="AZ1069" s="87"/>
      <c r="BA1069" s="91" t="s">
        <v>4791</v>
      </c>
      <c r="BB1069" s="84"/>
      <c r="BC1069" s="85"/>
      <c r="BD1069" s="85"/>
    </row>
    <row r="1070" spans="1:56" s="86" customFormat="1" ht="40.5" customHeight="1">
      <c r="A1070" s="78">
        <v>1065</v>
      </c>
      <c r="B1070" s="90" t="s">
        <v>4792</v>
      </c>
      <c r="C1070" s="88">
        <v>45569</v>
      </c>
      <c r="D1070" s="89">
        <v>0.41666666666666669</v>
      </c>
      <c r="E1070" s="87" t="s">
        <v>58</v>
      </c>
      <c r="F1070" s="87" t="s">
        <v>1184</v>
      </c>
      <c r="G1070" s="87" t="s">
        <v>62</v>
      </c>
      <c r="H1070" s="90" t="s">
        <v>4663</v>
      </c>
      <c r="I1070" s="90" t="s">
        <v>64</v>
      </c>
      <c r="J1070" s="87" t="s">
        <v>70</v>
      </c>
      <c r="K1070" s="87" t="s">
        <v>324</v>
      </c>
      <c r="L1070" s="90" t="s">
        <v>3470</v>
      </c>
      <c r="M1070" s="91" t="s">
        <v>2770</v>
      </c>
      <c r="N1070" s="90" t="s">
        <v>4793</v>
      </c>
      <c r="O1070" s="90" t="str">
        <f>_xlfn.TEXTJOIN(", ",TRUE,$P1070:$T1070)</f>
        <v>Suba</v>
      </c>
      <c r="P1070" s="87" t="s">
        <v>394</v>
      </c>
      <c r="Q1070" s="87"/>
      <c r="R1070" s="87"/>
      <c r="S1070" s="87"/>
      <c r="T1070" s="87"/>
      <c r="U1070" s="87"/>
      <c r="V1070" s="90" t="str">
        <f>_xlfn.TEXTJOIN(", ",TRUE,$W1070:$AB1070)</f>
        <v>Noroccidente</v>
      </c>
      <c r="W1070" s="87" t="s">
        <v>395</v>
      </c>
      <c r="X1070" s="87"/>
      <c r="Y1070" s="87"/>
      <c r="Z1070" s="87"/>
      <c r="AA1070" s="87"/>
      <c r="AB1070" s="87"/>
      <c r="AC1070" s="90" t="str">
        <f>_xlfn.TEXTJOIN(", ",TRUE,$AD1070:$AM1070)</f>
        <v>Suba</v>
      </c>
      <c r="AD1070" s="87" t="s">
        <v>394</v>
      </c>
      <c r="AE1070" s="87"/>
      <c r="AF1070" s="87"/>
      <c r="AG1070" s="87"/>
      <c r="AH1070" s="87"/>
      <c r="AI1070" s="87"/>
      <c r="AJ1070" s="87"/>
      <c r="AK1070" s="87"/>
      <c r="AL1070" s="87"/>
      <c r="AM1070" s="87"/>
      <c r="AN1070" s="90" t="s">
        <v>394</v>
      </c>
      <c r="AO1070" s="90" t="s">
        <v>4794</v>
      </c>
      <c r="AP1070" s="82"/>
      <c r="AQ1070" s="87" t="s">
        <v>59</v>
      </c>
      <c r="AR1070" s="87" t="s">
        <v>80</v>
      </c>
      <c r="AS1070" s="82"/>
      <c r="AT1070" s="87">
        <v>16</v>
      </c>
      <c r="AU1070" s="87">
        <v>6</v>
      </c>
      <c r="AV1070" s="87">
        <f t="shared" ref="AV1070:AV1071" si="235">AT1070+AU1070</f>
        <v>22</v>
      </c>
      <c r="AW1070" s="87" t="str">
        <f>_xlfn.TEXTJOIN(", ",TRUE,$AX1070:$AZ1070)</f>
        <v>Horarios Acordes</v>
      </c>
      <c r="AX1070" s="87" t="s">
        <v>213</v>
      </c>
      <c r="AY1070" s="87"/>
      <c r="AZ1070" s="87"/>
      <c r="BA1070" s="91" t="s">
        <v>4795</v>
      </c>
      <c r="BB1070" s="84"/>
      <c r="BC1070" s="85"/>
      <c r="BD1070" s="85"/>
    </row>
    <row r="1071" spans="1:56" s="86" customFormat="1" ht="40.5" customHeight="1">
      <c r="A1071" s="87">
        <v>1066</v>
      </c>
      <c r="B1071" s="90" t="s">
        <v>4796</v>
      </c>
      <c r="C1071" s="88">
        <v>45569</v>
      </c>
      <c r="D1071" s="89">
        <v>0.41666666666666669</v>
      </c>
      <c r="E1071" s="87" t="s">
        <v>58</v>
      </c>
      <c r="F1071" s="87" t="s">
        <v>1142</v>
      </c>
      <c r="G1071" s="87" t="s">
        <v>62</v>
      </c>
      <c r="H1071" s="90" t="s">
        <v>4797</v>
      </c>
      <c r="I1071" s="90" t="s">
        <v>118</v>
      </c>
      <c r="J1071" s="87" t="s">
        <v>70</v>
      </c>
      <c r="K1071" s="87" t="s">
        <v>71</v>
      </c>
      <c r="L1071" s="90" t="s">
        <v>4798</v>
      </c>
      <c r="M1071" s="91" t="s">
        <v>4799</v>
      </c>
      <c r="N1071" s="90" t="s">
        <v>1317</v>
      </c>
      <c r="O1071" s="90" t="str">
        <f t="shared" si="133"/>
        <v>Distrital</v>
      </c>
      <c r="P1071" s="87" t="s">
        <v>73</v>
      </c>
      <c r="Q1071" s="87"/>
      <c r="R1071" s="87"/>
      <c r="S1071" s="87"/>
      <c r="T1071" s="87"/>
      <c r="U1071" s="87"/>
      <c r="V1071" s="90" t="str">
        <f t="shared" si="137"/>
        <v>Distrital</v>
      </c>
      <c r="W1071" s="87" t="s">
        <v>73</v>
      </c>
      <c r="X1071" s="87"/>
      <c r="Y1071" s="87"/>
      <c r="Z1071" s="87"/>
      <c r="AA1071" s="87"/>
      <c r="AB1071" s="87"/>
      <c r="AC1071" s="90" t="str">
        <f t="shared" si="138"/>
        <v>Distrital</v>
      </c>
      <c r="AD1071" s="87" t="s">
        <v>73</v>
      </c>
      <c r="AE1071" s="87"/>
      <c r="AF1071" s="87"/>
      <c r="AG1071" s="87"/>
      <c r="AH1071" s="87"/>
      <c r="AI1071" s="87"/>
      <c r="AJ1071" s="87"/>
      <c r="AK1071" s="87"/>
      <c r="AL1071" s="87"/>
      <c r="AM1071" s="87"/>
      <c r="AN1071" s="90" t="s">
        <v>80</v>
      </c>
      <c r="AO1071" s="90" t="s">
        <v>4800</v>
      </c>
      <c r="AP1071" s="82"/>
      <c r="AQ1071" s="87" t="s">
        <v>59</v>
      </c>
      <c r="AR1071" s="87" t="s">
        <v>80</v>
      </c>
      <c r="AS1071" s="82"/>
      <c r="AT1071" s="87">
        <v>0</v>
      </c>
      <c r="AU1071" s="87">
        <v>11</v>
      </c>
      <c r="AV1071" s="87">
        <f t="shared" si="235"/>
        <v>11</v>
      </c>
      <c r="AW1071" s="87" t="str">
        <f t="shared" ref="AW1071:AW1072" si="236">_xlfn.TEXTJOIN(", ",TRUE,$AX1071:$AZ1071)</f>
        <v>Ninguna</v>
      </c>
      <c r="AX1071" s="87" t="s">
        <v>75</v>
      </c>
      <c r="AY1071" s="87"/>
      <c r="AZ1071" s="87"/>
      <c r="BA1071" s="91" t="s">
        <v>4801</v>
      </c>
      <c r="BB1071" s="84"/>
      <c r="BC1071" s="85"/>
      <c r="BD1071" s="85"/>
    </row>
    <row r="1072" spans="1:56" s="86" customFormat="1" ht="40.5" customHeight="1">
      <c r="A1072" s="78">
        <v>1067</v>
      </c>
      <c r="B1072" s="90" t="s">
        <v>4802</v>
      </c>
      <c r="C1072" s="88">
        <v>45569</v>
      </c>
      <c r="D1072" s="89">
        <v>0.45833333333333331</v>
      </c>
      <c r="E1072" s="87" t="s">
        <v>58</v>
      </c>
      <c r="F1072" s="87" t="s">
        <v>1437</v>
      </c>
      <c r="G1072" s="87" t="s">
        <v>62</v>
      </c>
      <c r="H1072" s="90" t="s">
        <v>4803</v>
      </c>
      <c r="I1072" s="90" t="s">
        <v>118</v>
      </c>
      <c r="J1072" s="87" t="s">
        <v>173</v>
      </c>
      <c r="K1072" s="87"/>
      <c r="L1072" s="90" t="s">
        <v>1317</v>
      </c>
      <c r="M1072" s="91" t="s">
        <v>1317</v>
      </c>
      <c r="N1072" s="90" t="s">
        <v>1317</v>
      </c>
      <c r="O1072" s="90" t="str">
        <f t="shared" si="133"/>
        <v>Distrital</v>
      </c>
      <c r="P1072" s="87" t="s">
        <v>73</v>
      </c>
      <c r="Q1072" s="87"/>
      <c r="R1072" s="87"/>
      <c r="S1072" s="87"/>
      <c r="T1072" s="87"/>
      <c r="U1072" s="87"/>
      <c r="V1072" s="90" t="str">
        <f t="shared" si="137"/>
        <v>Distrital</v>
      </c>
      <c r="W1072" s="87" t="s">
        <v>73</v>
      </c>
      <c r="X1072" s="87"/>
      <c r="Y1072" s="87"/>
      <c r="Z1072" s="87"/>
      <c r="AA1072" s="87"/>
      <c r="AB1072" s="87"/>
      <c r="AC1072" s="90" t="str">
        <f t="shared" si="138"/>
        <v>Distrital</v>
      </c>
      <c r="AD1072" s="87" t="s">
        <v>73</v>
      </c>
      <c r="AE1072" s="87"/>
      <c r="AF1072" s="87"/>
      <c r="AG1072" s="87"/>
      <c r="AH1072" s="87"/>
      <c r="AI1072" s="87"/>
      <c r="AJ1072" s="87"/>
      <c r="AK1072" s="87"/>
      <c r="AL1072" s="87"/>
      <c r="AM1072" s="87"/>
      <c r="AN1072" s="90" t="s">
        <v>80</v>
      </c>
      <c r="AO1072" s="90" t="s">
        <v>3884</v>
      </c>
      <c r="AP1072" s="82"/>
      <c r="AQ1072" s="87" t="s">
        <v>59</v>
      </c>
      <c r="AR1072" s="87" t="s">
        <v>80</v>
      </c>
      <c r="AS1072" s="82"/>
      <c r="AT1072" s="87">
        <v>5</v>
      </c>
      <c r="AU1072" s="87">
        <v>5</v>
      </c>
      <c r="AV1072" s="87">
        <f t="shared" ref="AV1072" si="237">AT1072+AU1072</f>
        <v>10</v>
      </c>
      <c r="AW1072" s="87" t="str">
        <f t="shared" si="236"/>
        <v>Ninguna</v>
      </c>
      <c r="AX1072" s="87" t="s">
        <v>75</v>
      </c>
      <c r="AY1072" s="87"/>
      <c r="AZ1072" s="87"/>
      <c r="BA1072" s="140" t="s">
        <v>4804</v>
      </c>
      <c r="BB1072" s="84"/>
      <c r="BC1072" s="85"/>
      <c r="BD1072" s="85"/>
    </row>
    <row r="1073" spans="1:56" s="86" customFormat="1" ht="46.5" customHeight="1">
      <c r="A1073" s="87">
        <v>1068</v>
      </c>
      <c r="B1073" s="79" t="s">
        <v>4805</v>
      </c>
      <c r="C1073" s="88">
        <v>45569</v>
      </c>
      <c r="D1073" s="89">
        <v>0.5625</v>
      </c>
      <c r="E1073" s="87" t="s">
        <v>58</v>
      </c>
      <c r="F1073" s="87" t="s">
        <v>1184</v>
      </c>
      <c r="G1073" s="87" t="s">
        <v>62</v>
      </c>
      <c r="H1073" s="90" t="s">
        <v>4806</v>
      </c>
      <c r="I1073" s="90" t="s">
        <v>118</v>
      </c>
      <c r="J1073" s="87" t="s">
        <v>70</v>
      </c>
      <c r="K1073" s="87"/>
      <c r="L1073" s="90" t="s">
        <v>121</v>
      </c>
      <c r="M1073" s="91" t="s">
        <v>2786</v>
      </c>
      <c r="N1073" s="90" t="s">
        <v>2816</v>
      </c>
      <c r="O1073" s="90" t="str">
        <f t="shared" si="133"/>
        <v>Los Mártires</v>
      </c>
      <c r="P1073" s="87" t="s">
        <v>542</v>
      </c>
      <c r="Q1073" s="87"/>
      <c r="R1073" s="87"/>
      <c r="S1073" s="87"/>
      <c r="T1073" s="87"/>
      <c r="U1073" s="87"/>
      <c r="V1073" s="90" t="str">
        <f t="shared" si="137"/>
        <v>Centro Ampliado</v>
      </c>
      <c r="W1073" s="87" t="s">
        <v>415</v>
      </c>
      <c r="X1073" s="87"/>
      <c r="Y1073" s="87"/>
      <c r="Z1073" s="87"/>
      <c r="AA1073" s="87"/>
      <c r="AB1073" s="87"/>
      <c r="AC1073" s="90" t="str">
        <f t="shared" si="138"/>
        <v>Centro Histórico</v>
      </c>
      <c r="AD1073" s="87" t="s">
        <v>488</v>
      </c>
      <c r="AE1073" s="87"/>
      <c r="AF1073" s="87"/>
      <c r="AG1073" s="87"/>
      <c r="AH1073" s="87"/>
      <c r="AI1073" s="87"/>
      <c r="AJ1073" s="87"/>
      <c r="AK1073" s="87"/>
      <c r="AL1073" s="87"/>
      <c r="AM1073" s="87"/>
      <c r="AN1073" s="90" t="s">
        <v>4807</v>
      </c>
      <c r="AO1073" s="90" t="s">
        <v>4808</v>
      </c>
      <c r="AP1073" s="82"/>
      <c r="AQ1073" s="87" t="s">
        <v>59</v>
      </c>
      <c r="AR1073" s="87" t="s">
        <v>80</v>
      </c>
      <c r="AS1073" s="82"/>
      <c r="AT1073" s="87">
        <v>19</v>
      </c>
      <c r="AU1073" s="87">
        <v>4</v>
      </c>
      <c r="AV1073" s="87">
        <f t="shared" si="226"/>
        <v>23</v>
      </c>
      <c r="AW1073" s="87" t="str">
        <f>_xlfn.TEXTJOIN(", ",TRUE,$AX1073:$AZ1073)</f>
        <v>Ninguna</v>
      </c>
      <c r="AX1073" s="87" t="s">
        <v>75</v>
      </c>
      <c r="AY1073" s="87"/>
      <c r="AZ1073" s="87"/>
      <c r="BA1073" s="91" t="s">
        <v>4809</v>
      </c>
      <c r="BB1073" s="84"/>
      <c r="BC1073" s="85"/>
      <c r="BD1073" s="85"/>
    </row>
    <row r="1074" spans="1:56" s="86" customFormat="1" ht="46.5" customHeight="1">
      <c r="A1074" s="78">
        <v>1069</v>
      </c>
      <c r="B1074" s="90" t="s">
        <v>4118</v>
      </c>
      <c r="C1074" s="88">
        <v>45569</v>
      </c>
      <c r="D1074" s="89">
        <v>0.58333333333333337</v>
      </c>
      <c r="E1074" s="87" t="s">
        <v>93</v>
      </c>
      <c r="F1074" s="87" t="s">
        <v>321</v>
      </c>
      <c r="G1074" s="87" t="s">
        <v>62</v>
      </c>
      <c r="H1074" s="90" t="s">
        <v>4810</v>
      </c>
      <c r="I1074" s="90" t="s">
        <v>118</v>
      </c>
      <c r="J1074" s="87" t="s">
        <v>70</v>
      </c>
      <c r="K1074" s="87" t="s">
        <v>1810</v>
      </c>
      <c r="L1074" s="90" t="s">
        <v>4811</v>
      </c>
      <c r="M1074" s="90" t="s">
        <v>1317</v>
      </c>
      <c r="N1074" s="90" t="s">
        <v>526</v>
      </c>
      <c r="O1074" s="90" t="str">
        <f>_xlfn.TEXTJOIN(", ",TRUE,$P1074:$T1074)</f>
        <v>Usaquén</v>
      </c>
      <c r="P1074" s="87" t="s">
        <v>428</v>
      </c>
      <c r="Q1074" s="87"/>
      <c r="R1074" s="87"/>
      <c r="S1074" s="87"/>
      <c r="T1074" s="87"/>
      <c r="U1074" s="87"/>
      <c r="V1074" s="90" t="str">
        <f>_xlfn.TEXTJOIN(", ",TRUE,$W1074:$AB1074)</f>
        <v>Norte</v>
      </c>
      <c r="W1074" s="87" t="s">
        <v>429</v>
      </c>
      <c r="X1074" s="87"/>
      <c r="Y1074" s="87"/>
      <c r="Z1074" s="87"/>
      <c r="AA1074" s="87"/>
      <c r="AB1074" s="87"/>
      <c r="AC1074" s="90" t="str">
        <f>_xlfn.TEXTJOIN(", ",TRUE,$AD1074:$AM1074)</f>
        <v>Usaquén</v>
      </c>
      <c r="AD1074" s="87" t="s">
        <v>428</v>
      </c>
      <c r="AE1074" s="87"/>
      <c r="AF1074" s="87"/>
      <c r="AG1074" s="87"/>
      <c r="AH1074" s="87"/>
      <c r="AI1074" s="87"/>
      <c r="AJ1074" s="87"/>
      <c r="AK1074" s="87"/>
      <c r="AL1074" s="87"/>
      <c r="AM1074" s="87"/>
      <c r="AN1074" s="90" t="s">
        <v>4812</v>
      </c>
      <c r="AO1074" s="90" t="s">
        <v>4813</v>
      </c>
      <c r="AP1074" s="82"/>
      <c r="AQ1074" s="87" t="s">
        <v>59</v>
      </c>
      <c r="AR1074" s="87" t="s">
        <v>80</v>
      </c>
      <c r="AS1074" s="82"/>
      <c r="AT1074" s="87">
        <v>17</v>
      </c>
      <c r="AU1074" s="87">
        <v>1</v>
      </c>
      <c r="AV1074" s="87">
        <f>AT1074+AU1074</f>
        <v>18</v>
      </c>
      <c r="AW1074" s="87" t="str">
        <f>_xlfn.TEXTJOIN(", ",TRUE,$AX1074:$AZ1074)</f>
        <v>Horarios Acordes</v>
      </c>
      <c r="AX1074" s="87" t="s">
        <v>213</v>
      </c>
      <c r="AY1074" s="87"/>
      <c r="AZ1074" s="87"/>
      <c r="BA1074" s="91" t="s">
        <v>4814</v>
      </c>
      <c r="BB1074" s="84"/>
      <c r="BC1074" s="85"/>
      <c r="BD1074" s="85"/>
    </row>
    <row r="1075" spans="1:56" s="86" customFormat="1" ht="46.5" customHeight="1">
      <c r="A1075" s="87">
        <v>1070</v>
      </c>
      <c r="B1075" s="90" t="s">
        <v>4815</v>
      </c>
      <c r="C1075" s="88">
        <v>45569</v>
      </c>
      <c r="D1075" s="89">
        <v>0.58333333333333337</v>
      </c>
      <c r="E1075" s="87" t="s">
        <v>58</v>
      </c>
      <c r="F1075" s="87" t="s">
        <v>116</v>
      </c>
      <c r="G1075" s="87" t="s">
        <v>62</v>
      </c>
      <c r="H1075" s="90" t="s">
        <v>4816</v>
      </c>
      <c r="I1075" s="90" t="s">
        <v>118</v>
      </c>
      <c r="J1075" s="87" t="s">
        <v>119</v>
      </c>
      <c r="K1075" s="87" t="s">
        <v>1322</v>
      </c>
      <c r="L1075" s="90" t="s">
        <v>1317</v>
      </c>
      <c r="M1075" s="90" t="s">
        <v>1317</v>
      </c>
      <c r="N1075" s="90" t="s">
        <v>1317</v>
      </c>
      <c r="O1075" s="90" t="str">
        <f t="shared" si="133"/>
        <v>Fontibón</v>
      </c>
      <c r="P1075" s="87" t="s">
        <v>420</v>
      </c>
      <c r="Q1075" s="87"/>
      <c r="R1075" s="87"/>
      <c r="S1075" s="87"/>
      <c r="T1075" s="87"/>
      <c r="U1075" s="87"/>
      <c r="V1075" s="90" t="str">
        <f t="shared" si="137"/>
        <v>Occidente</v>
      </c>
      <c r="W1075" s="87" t="s">
        <v>124</v>
      </c>
      <c r="X1075" s="87"/>
      <c r="Y1075" s="87"/>
      <c r="Z1075" s="87"/>
      <c r="AA1075" s="87"/>
      <c r="AB1075" s="87"/>
      <c r="AC1075" s="90" t="str">
        <f t="shared" si="138"/>
        <v>Fontibón</v>
      </c>
      <c r="AD1075" s="87" t="s">
        <v>420</v>
      </c>
      <c r="AE1075" s="87"/>
      <c r="AF1075" s="87"/>
      <c r="AG1075" s="87"/>
      <c r="AH1075" s="87"/>
      <c r="AI1075" s="87"/>
      <c r="AJ1075" s="87"/>
      <c r="AK1075" s="87"/>
      <c r="AL1075" s="87"/>
      <c r="AM1075" s="87"/>
      <c r="AN1075" s="90" t="s">
        <v>80</v>
      </c>
      <c r="AO1075" s="90" t="s">
        <v>4817</v>
      </c>
      <c r="AP1075" s="82"/>
      <c r="AQ1075" s="87" t="s">
        <v>59</v>
      </c>
      <c r="AR1075" s="87" t="s">
        <v>80</v>
      </c>
      <c r="AS1075" s="82"/>
      <c r="AT1075" s="87">
        <v>7</v>
      </c>
      <c r="AU1075" s="87">
        <v>8</v>
      </c>
      <c r="AV1075" s="87">
        <f t="shared" si="226"/>
        <v>15</v>
      </c>
      <c r="AW1075" s="87" t="str">
        <f t="shared" si="54"/>
        <v>Contenidos adaptados</v>
      </c>
      <c r="AX1075" s="87" t="s">
        <v>212</v>
      </c>
      <c r="AY1075" s="87"/>
      <c r="AZ1075" s="87"/>
      <c r="BA1075" s="91" t="s">
        <v>4818</v>
      </c>
      <c r="BB1075" s="84"/>
      <c r="BC1075" s="85"/>
      <c r="BD1075" s="85"/>
    </row>
    <row r="1076" spans="1:56" s="86" customFormat="1" ht="46.5" customHeight="1">
      <c r="A1076" s="78">
        <v>1071</v>
      </c>
      <c r="B1076" s="90" t="s">
        <v>4819</v>
      </c>
      <c r="C1076" s="88">
        <v>45569</v>
      </c>
      <c r="D1076" s="89">
        <v>0.58333333333333337</v>
      </c>
      <c r="E1076" s="87" t="s">
        <v>58</v>
      </c>
      <c r="F1076" s="87" t="s">
        <v>2121</v>
      </c>
      <c r="G1076" s="87" t="s">
        <v>62</v>
      </c>
      <c r="H1076" s="90" t="s">
        <v>4820</v>
      </c>
      <c r="I1076" s="90" t="s">
        <v>118</v>
      </c>
      <c r="J1076" s="87" t="s">
        <v>70</v>
      </c>
      <c r="K1076" s="87" t="s">
        <v>71</v>
      </c>
      <c r="L1076" s="90" t="s">
        <v>4821</v>
      </c>
      <c r="M1076" s="91" t="s">
        <v>4822</v>
      </c>
      <c r="N1076" s="90" t="s">
        <v>4823</v>
      </c>
      <c r="O1076" s="90" t="str">
        <f>_xlfn.TEXTJOIN(", ",TRUE,$P1076:$T1076)</f>
        <v>Distrital</v>
      </c>
      <c r="P1076" s="87" t="s">
        <v>73</v>
      </c>
      <c r="Q1076" s="87"/>
      <c r="R1076" s="87"/>
      <c r="S1076" s="87"/>
      <c r="T1076" s="87"/>
      <c r="U1076" s="87"/>
      <c r="V1076" s="90" t="str">
        <f>_xlfn.TEXTJOIN(", ",TRUE,$W1076:$AB1076)</f>
        <v>Distrital</v>
      </c>
      <c r="W1076" s="87" t="s">
        <v>73</v>
      </c>
      <c r="X1076" s="87"/>
      <c r="Y1076" s="87"/>
      <c r="Z1076" s="87"/>
      <c r="AA1076" s="87"/>
      <c r="AB1076" s="87"/>
      <c r="AC1076" s="90" t="str">
        <f>_xlfn.TEXTJOIN(", ",TRUE,$AD1076:$AM1076)</f>
        <v>Distrital</v>
      </c>
      <c r="AD1076" s="87" t="s">
        <v>73</v>
      </c>
      <c r="AE1076" s="87"/>
      <c r="AF1076" s="87"/>
      <c r="AG1076" s="87"/>
      <c r="AH1076" s="87"/>
      <c r="AI1076" s="87"/>
      <c r="AJ1076" s="87"/>
      <c r="AK1076" s="87"/>
      <c r="AL1076" s="87"/>
      <c r="AM1076" s="87"/>
      <c r="AN1076" s="90" t="s">
        <v>80</v>
      </c>
      <c r="AO1076" s="90" t="s">
        <v>4824</v>
      </c>
      <c r="AP1076" s="82"/>
      <c r="AQ1076" s="87" t="s">
        <v>59</v>
      </c>
      <c r="AR1076" s="87" t="s">
        <v>80</v>
      </c>
      <c r="AS1076" s="82"/>
      <c r="AT1076" s="87">
        <v>2</v>
      </c>
      <c r="AU1076" s="87">
        <v>1</v>
      </c>
      <c r="AV1076" s="87">
        <f>AT1076+AU1076</f>
        <v>3</v>
      </c>
      <c r="AW1076" s="87" t="str">
        <f t="shared" ref="AW1076:AW1078" si="238">_xlfn.TEXTJOIN(", ",TRUE,$AX1076:$AZ1076)</f>
        <v>Ninguna</v>
      </c>
      <c r="AX1076" s="87" t="s">
        <v>75</v>
      </c>
      <c r="AY1076" s="87"/>
      <c r="AZ1076" s="87"/>
      <c r="BA1076" s="91" t="s">
        <v>4825</v>
      </c>
      <c r="BB1076" s="84"/>
      <c r="BC1076" s="85"/>
      <c r="BD1076" s="85"/>
    </row>
    <row r="1077" spans="1:56" s="86" customFormat="1" ht="46.5" customHeight="1">
      <c r="A1077" s="87">
        <v>1072</v>
      </c>
      <c r="B1077" s="90" t="s">
        <v>4826</v>
      </c>
      <c r="C1077" s="88">
        <v>45569</v>
      </c>
      <c r="D1077" s="89">
        <v>0.70833333333333337</v>
      </c>
      <c r="E1077" s="87" t="s">
        <v>93</v>
      </c>
      <c r="F1077" s="87" t="s">
        <v>102</v>
      </c>
      <c r="G1077" s="87" t="s">
        <v>62</v>
      </c>
      <c r="H1077" s="90" t="s">
        <v>4827</v>
      </c>
      <c r="I1077" s="90" t="s">
        <v>118</v>
      </c>
      <c r="J1077" s="87" t="s">
        <v>173</v>
      </c>
      <c r="K1077" s="87"/>
      <c r="L1077" s="90" t="s">
        <v>3964</v>
      </c>
      <c r="M1077" s="91" t="s">
        <v>3965</v>
      </c>
      <c r="N1077" s="90" t="s">
        <v>4668</v>
      </c>
      <c r="O1077" s="90" t="str">
        <f>_xlfn.TEXTJOIN(", ",TRUE,$P1077:$T1077)</f>
        <v>Distrital</v>
      </c>
      <c r="P1077" s="87" t="s">
        <v>73</v>
      </c>
      <c r="Q1077" s="87"/>
      <c r="R1077" s="87"/>
      <c r="S1077" s="87"/>
      <c r="T1077" s="87"/>
      <c r="U1077" s="87"/>
      <c r="V1077" s="90" t="str">
        <f>_xlfn.TEXTJOIN(", ",TRUE,$W1077:$AB1077)</f>
        <v>Distrital</v>
      </c>
      <c r="W1077" s="87" t="s">
        <v>73</v>
      </c>
      <c r="X1077" s="87"/>
      <c r="Y1077" s="87"/>
      <c r="Z1077" s="87"/>
      <c r="AA1077" s="87"/>
      <c r="AB1077" s="87"/>
      <c r="AC1077" s="90" t="str">
        <f>_xlfn.TEXTJOIN(", ",TRUE,$AD1077:$AM1077)</f>
        <v>Distrital</v>
      </c>
      <c r="AD1077" s="87" t="s">
        <v>73</v>
      </c>
      <c r="AE1077" s="87"/>
      <c r="AF1077" s="87"/>
      <c r="AG1077" s="87"/>
      <c r="AH1077" s="87"/>
      <c r="AI1077" s="87"/>
      <c r="AJ1077" s="87"/>
      <c r="AK1077" s="87"/>
      <c r="AL1077" s="87"/>
      <c r="AM1077" s="87"/>
      <c r="AN1077" s="90" t="s">
        <v>80</v>
      </c>
      <c r="AO1077" s="90" t="s">
        <v>4828</v>
      </c>
      <c r="AP1077" s="82"/>
      <c r="AQ1077" s="87" t="s">
        <v>59</v>
      </c>
      <c r="AR1077" s="87" t="s">
        <v>80</v>
      </c>
      <c r="AS1077" s="82"/>
      <c r="AT1077" s="87">
        <v>29</v>
      </c>
      <c r="AU1077" s="87">
        <v>3</v>
      </c>
      <c r="AV1077" s="87">
        <f t="shared" ref="AV1077" si="239">AT1077+AU1077</f>
        <v>32</v>
      </c>
      <c r="AW1077" s="87" t="str">
        <f t="shared" ref="AW1077" si="240">_xlfn.TEXTJOIN(", ",TRUE,$AX1077:$AZ1077)</f>
        <v>Ninguna</v>
      </c>
      <c r="AX1077" s="87" t="s">
        <v>75</v>
      </c>
      <c r="AY1077" s="87"/>
      <c r="AZ1077" s="87"/>
      <c r="BA1077" s="91" t="s">
        <v>4829</v>
      </c>
      <c r="BB1077" s="84"/>
      <c r="BC1077" s="85"/>
      <c r="BD1077" s="85"/>
    </row>
    <row r="1078" spans="1:56" s="86" customFormat="1" ht="46.5" customHeight="1">
      <c r="A1078" s="78">
        <v>1073</v>
      </c>
      <c r="B1078" s="79" t="s">
        <v>4830</v>
      </c>
      <c r="C1078" s="88">
        <v>45570</v>
      </c>
      <c r="D1078" s="89">
        <v>0.3125</v>
      </c>
      <c r="E1078" s="87" t="s">
        <v>93</v>
      </c>
      <c r="F1078" s="87" t="s">
        <v>102</v>
      </c>
      <c r="G1078" s="87" t="s">
        <v>62</v>
      </c>
      <c r="H1078" s="90" t="s">
        <v>4831</v>
      </c>
      <c r="I1078" s="90" t="s">
        <v>118</v>
      </c>
      <c r="J1078" s="87" t="s">
        <v>119</v>
      </c>
      <c r="K1078" s="87" t="s">
        <v>129</v>
      </c>
      <c r="L1078" s="90" t="s">
        <v>4704</v>
      </c>
      <c r="M1078" s="91" t="s">
        <v>3950</v>
      </c>
      <c r="N1078" s="90" t="s">
        <v>736</v>
      </c>
      <c r="O1078" s="90" t="str">
        <f>_xlfn.TEXTJOIN(", ",TRUE,$P1078:$T1078)</f>
        <v>Distrital</v>
      </c>
      <c r="P1078" s="87" t="s">
        <v>73</v>
      </c>
      <c r="Q1078" s="87"/>
      <c r="R1078" s="87"/>
      <c r="S1078" s="87"/>
      <c r="T1078" s="87"/>
      <c r="U1078" s="87"/>
      <c r="V1078" s="90" t="str">
        <f>_xlfn.TEXTJOIN(", ",TRUE,$W1078:$AB1078)</f>
        <v>Distrital</v>
      </c>
      <c r="W1078" s="87" t="s">
        <v>73</v>
      </c>
      <c r="X1078" s="87"/>
      <c r="Y1078" s="87"/>
      <c r="Z1078" s="87"/>
      <c r="AA1078" s="87"/>
      <c r="AB1078" s="87"/>
      <c r="AC1078" s="90" t="str">
        <f>_xlfn.TEXTJOIN(", ",TRUE,$AD1078:$AM1078)</f>
        <v>Distrital</v>
      </c>
      <c r="AD1078" s="87" t="s">
        <v>73</v>
      </c>
      <c r="AE1078" s="87"/>
      <c r="AF1078" s="87"/>
      <c r="AG1078" s="87"/>
      <c r="AH1078" s="87"/>
      <c r="AI1078" s="87"/>
      <c r="AJ1078" s="87"/>
      <c r="AK1078" s="87"/>
      <c r="AL1078" s="87"/>
      <c r="AM1078" s="87"/>
      <c r="AN1078" s="90" t="s">
        <v>80</v>
      </c>
      <c r="AO1078" s="90" t="s">
        <v>4832</v>
      </c>
      <c r="AP1078" s="82"/>
      <c r="AQ1078" s="87" t="s">
        <v>59</v>
      </c>
      <c r="AR1078" s="87" t="s">
        <v>80</v>
      </c>
      <c r="AS1078" s="82"/>
      <c r="AT1078" s="87">
        <v>101</v>
      </c>
      <c r="AU1078" s="87">
        <v>15</v>
      </c>
      <c r="AV1078" s="87">
        <f t="shared" si="226"/>
        <v>116</v>
      </c>
      <c r="AW1078" s="87" t="str">
        <f t="shared" si="238"/>
        <v>Lenguaje de señas</v>
      </c>
      <c r="AX1078" s="87" t="s">
        <v>211</v>
      </c>
      <c r="AY1078" s="87"/>
      <c r="AZ1078" s="87"/>
      <c r="BA1078" s="91" t="s">
        <v>4833</v>
      </c>
      <c r="BB1078" s="84"/>
      <c r="BC1078" s="85"/>
      <c r="BD1078" s="85"/>
    </row>
    <row r="1079" spans="1:56" s="86" customFormat="1" ht="46.5" customHeight="1">
      <c r="A1079" s="87">
        <v>1074</v>
      </c>
      <c r="B1079" s="90" t="s">
        <v>4834</v>
      </c>
      <c r="C1079" s="88">
        <v>45570</v>
      </c>
      <c r="D1079" s="89">
        <v>0.39583333333333331</v>
      </c>
      <c r="E1079" s="87" t="s">
        <v>58</v>
      </c>
      <c r="F1079" s="87" t="s">
        <v>1769</v>
      </c>
      <c r="G1079" s="87" t="s">
        <v>62</v>
      </c>
      <c r="H1079" s="90" t="s">
        <v>4835</v>
      </c>
      <c r="I1079" s="90" t="s">
        <v>188</v>
      </c>
      <c r="J1079" s="87" t="s">
        <v>119</v>
      </c>
      <c r="K1079" s="87" t="s">
        <v>1322</v>
      </c>
      <c r="L1079" s="90" t="s">
        <v>4836</v>
      </c>
      <c r="M1079" s="91" t="s">
        <v>4837</v>
      </c>
      <c r="N1079" s="90" t="s">
        <v>4838</v>
      </c>
      <c r="O1079" s="90" t="str">
        <f t="shared" si="133"/>
        <v>Distrital</v>
      </c>
      <c r="P1079" s="87" t="s">
        <v>73</v>
      </c>
      <c r="Q1079" s="87"/>
      <c r="R1079" s="87"/>
      <c r="S1079" s="87"/>
      <c r="T1079" s="87"/>
      <c r="U1079" s="87"/>
      <c r="V1079" s="90" t="str">
        <f t="shared" si="137"/>
        <v>Distrital</v>
      </c>
      <c r="W1079" s="87" t="s">
        <v>73</v>
      </c>
      <c r="X1079" s="87"/>
      <c r="Y1079" s="87"/>
      <c r="Z1079" s="87"/>
      <c r="AA1079" s="87"/>
      <c r="AB1079" s="87"/>
      <c r="AC1079" s="90" t="str">
        <f t="shared" si="138"/>
        <v>Distrital</v>
      </c>
      <c r="AD1079" s="87" t="s">
        <v>73</v>
      </c>
      <c r="AE1079" s="87"/>
      <c r="AF1079" s="87"/>
      <c r="AG1079" s="87"/>
      <c r="AH1079" s="87"/>
      <c r="AI1079" s="87"/>
      <c r="AJ1079" s="87"/>
      <c r="AK1079" s="87"/>
      <c r="AL1079" s="87"/>
      <c r="AM1079" s="87"/>
      <c r="AN1079" s="90" t="s">
        <v>80</v>
      </c>
      <c r="AO1079" s="90" t="s">
        <v>4839</v>
      </c>
      <c r="AP1079" s="82"/>
      <c r="AQ1079" s="87" t="s">
        <v>59</v>
      </c>
      <c r="AR1079" s="87" t="s">
        <v>80</v>
      </c>
      <c r="AS1079" s="82"/>
      <c r="AT1079" s="87">
        <v>16</v>
      </c>
      <c r="AU1079" s="87">
        <v>3</v>
      </c>
      <c r="AV1079" s="87">
        <f t="shared" si="226"/>
        <v>19</v>
      </c>
      <c r="AW1079" s="87" t="str">
        <f t="shared" si="54"/>
        <v>Ninguna</v>
      </c>
      <c r="AX1079" s="87" t="s">
        <v>75</v>
      </c>
      <c r="AY1079" s="87"/>
      <c r="AZ1079" s="87"/>
      <c r="BA1079" s="91" t="s">
        <v>4840</v>
      </c>
      <c r="BB1079" s="84"/>
      <c r="BC1079" s="85"/>
      <c r="BD1079" s="85"/>
    </row>
    <row r="1080" spans="1:56" s="86" customFormat="1" ht="46.5" customHeight="1">
      <c r="A1080" s="78">
        <v>1075</v>
      </c>
      <c r="B1080" s="90" t="s">
        <v>4841</v>
      </c>
      <c r="C1080" s="88">
        <v>45570</v>
      </c>
      <c r="D1080" s="89">
        <v>0.4375</v>
      </c>
      <c r="E1080" s="87" t="s">
        <v>58</v>
      </c>
      <c r="F1080" s="87" t="s">
        <v>1142</v>
      </c>
      <c r="G1080" s="87" t="s">
        <v>62</v>
      </c>
      <c r="H1080" s="90" t="s">
        <v>4842</v>
      </c>
      <c r="I1080" s="90" t="s">
        <v>118</v>
      </c>
      <c r="J1080" s="87" t="s">
        <v>119</v>
      </c>
      <c r="K1080" s="87" t="s">
        <v>209</v>
      </c>
      <c r="L1080" s="90" t="s">
        <v>4843</v>
      </c>
      <c r="M1080" s="91" t="s">
        <v>4844</v>
      </c>
      <c r="N1080" s="90" t="s">
        <v>4312</v>
      </c>
      <c r="O1080" s="90" t="str">
        <f>_xlfn.TEXTJOIN(", ",TRUE,$P1080:$T1080)</f>
        <v>Distrital</v>
      </c>
      <c r="P1080" s="87" t="s">
        <v>73</v>
      </c>
      <c r="Q1080" s="87"/>
      <c r="R1080" s="87"/>
      <c r="S1080" s="87"/>
      <c r="T1080" s="87"/>
      <c r="U1080" s="87"/>
      <c r="V1080" s="90" t="str">
        <f>_xlfn.TEXTJOIN(", ",TRUE,$W1080:$AB1080)</f>
        <v>Distrital</v>
      </c>
      <c r="W1080" s="87" t="s">
        <v>73</v>
      </c>
      <c r="X1080" s="87"/>
      <c r="Y1080" s="87"/>
      <c r="Z1080" s="87"/>
      <c r="AA1080" s="87"/>
      <c r="AB1080" s="87"/>
      <c r="AC1080" s="90" t="str">
        <f>_xlfn.TEXTJOIN(", ",TRUE,$AD1080:$AM1080)</f>
        <v>Distrital</v>
      </c>
      <c r="AD1080" s="87" t="s">
        <v>73</v>
      </c>
      <c r="AE1080" s="87"/>
      <c r="AF1080" s="87"/>
      <c r="AG1080" s="87"/>
      <c r="AH1080" s="87"/>
      <c r="AI1080" s="87"/>
      <c r="AJ1080" s="87"/>
      <c r="AK1080" s="87"/>
      <c r="AL1080" s="87"/>
      <c r="AM1080" s="87"/>
      <c r="AN1080" s="90" t="s">
        <v>80</v>
      </c>
      <c r="AO1080" s="90" t="s">
        <v>4845</v>
      </c>
      <c r="AP1080" s="82"/>
      <c r="AQ1080" s="87" t="s">
        <v>59</v>
      </c>
      <c r="AR1080" s="87" t="s">
        <v>80</v>
      </c>
      <c r="AS1080" s="82"/>
      <c r="AT1080" s="87">
        <v>20</v>
      </c>
      <c r="AU1080" s="87">
        <v>3</v>
      </c>
      <c r="AV1080" s="87">
        <f t="shared" ref="AV1080" si="241">AT1080+AU1080</f>
        <v>23</v>
      </c>
      <c r="AW1080" s="87" t="str">
        <f t="shared" ref="AW1080:AW1084" si="242">_xlfn.TEXTJOIN(", ",TRUE,$AX1080:$AZ1080)</f>
        <v>Ninguna</v>
      </c>
      <c r="AX1080" s="87" t="s">
        <v>75</v>
      </c>
      <c r="AY1080" s="87"/>
      <c r="AZ1080" s="87"/>
      <c r="BA1080" s="91" t="s">
        <v>4846</v>
      </c>
      <c r="BB1080" s="84"/>
      <c r="BC1080" s="85"/>
      <c r="BD1080" s="85"/>
    </row>
    <row r="1081" spans="1:56" s="86" customFormat="1" ht="46.5" customHeight="1">
      <c r="A1081" s="87">
        <v>1076</v>
      </c>
      <c r="B1081" s="90" t="s">
        <v>4847</v>
      </c>
      <c r="C1081" s="88">
        <v>45572</v>
      </c>
      <c r="D1081" s="89">
        <v>0.33333333333333331</v>
      </c>
      <c r="E1081" s="87" t="s">
        <v>58</v>
      </c>
      <c r="F1081" s="87" t="s">
        <v>1184</v>
      </c>
      <c r="G1081" s="87" t="s">
        <v>62</v>
      </c>
      <c r="H1081" s="90" t="s">
        <v>4848</v>
      </c>
      <c r="I1081" s="90" t="s">
        <v>118</v>
      </c>
      <c r="J1081" s="87" t="s">
        <v>70</v>
      </c>
      <c r="K1081" s="87" t="s">
        <v>71</v>
      </c>
      <c r="L1081" s="90" t="s">
        <v>4849</v>
      </c>
      <c r="M1081" s="91" t="s">
        <v>1317</v>
      </c>
      <c r="N1081" s="90" t="s">
        <v>2560</v>
      </c>
      <c r="O1081" s="90" t="str">
        <f>_xlfn.TEXTJOIN(", ",TRUE,$P1081:$T1081)</f>
        <v>San Cristóbal</v>
      </c>
      <c r="P1081" s="87" t="s">
        <v>370</v>
      </c>
      <c r="Q1081" s="87"/>
      <c r="R1081" s="87"/>
      <c r="S1081" s="87"/>
      <c r="T1081" s="87"/>
      <c r="U1081" s="87"/>
      <c r="V1081" s="90" t="str">
        <f>_xlfn.TEXTJOIN(", ",TRUE,$W1081:$AB1081)</f>
        <v>Suroriente</v>
      </c>
      <c r="W1081" s="87" t="s">
        <v>108</v>
      </c>
      <c r="X1081" s="87"/>
      <c r="Y1081" s="87"/>
      <c r="Z1081" s="87"/>
      <c r="AA1081" s="87"/>
      <c r="AB1081" s="87"/>
      <c r="AC1081" s="90" t="str">
        <f>_xlfn.TEXTJOIN(", ",TRUE,$AD1081:$AM1081)</f>
        <v>San Cristobal</v>
      </c>
      <c r="AD1081" s="87" t="s">
        <v>371</v>
      </c>
      <c r="AE1081" s="87"/>
      <c r="AF1081" s="87"/>
      <c r="AG1081" s="87"/>
      <c r="AH1081" s="87"/>
      <c r="AI1081" s="87"/>
      <c r="AJ1081" s="87"/>
      <c r="AK1081" s="87"/>
      <c r="AL1081" s="87"/>
      <c r="AM1081" s="87"/>
      <c r="AN1081" s="90" t="s">
        <v>371</v>
      </c>
      <c r="AO1081" s="90" t="s">
        <v>4606</v>
      </c>
      <c r="AP1081" s="82"/>
      <c r="AQ1081" s="87" t="s">
        <v>59</v>
      </c>
      <c r="AR1081" s="87" t="s">
        <v>80</v>
      </c>
      <c r="AS1081" s="82"/>
      <c r="AT1081" s="87">
        <v>8</v>
      </c>
      <c r="AU1081" s="87">
        <v>6</v>
      </c>
      <c r="AV1081" s="87">
        <f>AT1081+AU1081</f>
        <v>14</v>
      </c>
      <c r="AW1081" s="87" t="str">
        <f t="shared" si="242"/>
        <v>Ninguna</v>
      </c>
      <c r="AX1081" s="87" t="s">
        <v>75</v>
      </c>
      <c r="AY1081" s="87"/>
      <c r="AZ1081" s="87"/>
      <c r="BA1081" s="91" t="s">
        <v>4850</v>
      </c>
      <c r="BB1081" s="84"/>
      <c r="BC1081" s="85"/>
      <c r="BD1081" s="85"/>
    </row>
    <row r="1082" spans="1:56" s="86" customFormat="1" ht="46.5" customHeight="1">
      <c r="A1082" s="78">
        <v>1077</v>
      </c>
      <c r="B1082" s="90" t="s">
        <v>4851</v>
      </c>
      <c r="C1082" s="88">
        <v>45572</v>
      </c>
      <c r="D1082" s="89">
        <v>0.33333333333333331</v>
      </c>
      <c r="E1082" s="87" t="s">
        <v>58</v>
      </c>
      <c r="F1082" s="87" t="s">
        <v>2121</v>
      </c>
      <c r="G1082" s="87" t="s">
        <v>95</v>
      </c>
      <c r="H1082" s="90" t="s">
        <v>4852</v>
      </c>
      <c r="I1082" s="90" t="s">
        <v>118</v>
      </c>
      <c r="J1082" s="87" t="s">
        <v>70</v>
      </c>
      <c r="K1082" s="87" t="s">
        <v>71</v>
      </c>
      <c r="L1082" s="90" t="s">
        <v>4853</v>
      </c>
      <c r="M1082" s="91" t="s">
        <v>4854</v>
      </c>
      <c r="N1082" s="90" t="s">
        <v>4855</v>
      </c>
      <c r="O1082" s="90" t="str">
        <f t="shared" si="133"/>
        <v>Distrital</v>
      </c>
      <c r="P1082" s="87" t="s">
        <v>73</v>
      </c>
      <c r="Q1082" s="87"/>
      <c r="R1082" s="87"/>
      <c r="S1082" s="87"/>
      <c r="T1082" s="87"/>
      <c r="U1082" s="87"/>
      <c r="V1082" s="90" t="str">
        <f t="shared" si="137"/>
        <v>Distrital</v>
      </c>
      <c r="W1082" s="87" t="s">
        <v>73</v>
      </c>
      <c r="X1082" s="87"/>
      <c r="Y1082" s="87"/>
      <c r="Z1082" s="87"/>
      <c r="AA1082" s="87"/>
      <c r="AB1082" s="87"/>
      <c r="AC1082" s="90" t="str">
        <f t="shared" si="138"/>
        <v>Distrital</v>
      </c>
      <c r="AD1082" s="87" t="s">
        <v>73</v>
      </c>
      <c r="AE1082" s="87"/>
      <c r="AF1082" s="87"/>
      <c r="AG1082" s="87"/>
      <c r="AH1082" s="87"/>
      <c r="AI1082" s="87"/>
      <c r="AJ1082" s="87"/>
      <c r="AK1082" s="87"/>
      <c r="AL1082" s="87"/>
      <c r="AM1082" s="87"/>
      <c r="AN1082" s="90" t="s">
        <v>80</v>
      </c>
      <c r="AO1082" s="102" t="s">
        <v>2638</v>
      </c>
      <c r="AP1082" s="82"/>
      <c r="AQ1082" s="87" t="s">
        <v>59</v>
      </c>
      <c r="AR1082" s="87" t="s">
        <v>80</v>
      </c>
      <c r="AS1082" s="82"/>
      <c r="AT1082" s="87">
        <v>1</v>
      </c>
      <c r="AU1082" s="87">
        <v>1</v>
      </c>
      <c r="AV1082" s="87">
        <f t="shared" ref="AV1082" si="243">AT1082+AU1082</f>
        <v>2</v>
      </c>
      <c r="AW1082" s="87" t="str">
        <f t="shared" si="242"/>
        <v>Ninguna</v>
      </c>
      <c r="AX1082" s="87" t="s">
        <v>75</v>
      </c>
      <c r="AY1082" s="87"/>
      <c r="AZ1082" s="87"/>
      <c r="BA1082" s="91" t="s">
        <v>4856</v>
      </c>
      <c r="BB1082" s="84"/>
      <c r="BC1082" s="85"/>
      <c r="BD1082" s="85"/>
    </row>
    <row r="1083" spans="1:56" s="86" customFormat="1" ht="46.5" customHeight="1">
      <c r="A1083" s="87">
        <v>1078</v>
      </c>
      <c r="B1083" s="90" t="s">
        <v>4857</v>
      </c>
      <c r="C1083" s="88">
        <v>45572</v>
      </c>
      <c r="D1083" s="89">
        <v>0.58333333333333337</v>
      </c>
      <c r="E1083" s="87" t="s">
        <v>58</v>
      </c>
      <c r="F1083" s="87" t="s">
        <v>149</v>
      </c>
      <c r="G1083" s="87" t="s">
        <v>62</v>
      </c>
      <c r="H1083" s="90" t="s">
        <v>4858</v>
      </c>
      <c r="I1083" s="90" t="s">
        <v>118</v>
      </c>
      <c r="J1083" s="87" t="s">
        <v>70</v>
      </c>
      <c r="K1083" s="87" t="s">
        <v>71</v>
      </c>
      <c r="L1083" s="90" t="s">
        <v>1317</v>
      </c>
      <c r="M1083" s="90" t="s">
        <v>1317</v>
      </c>
      <c r="N1083" s="90" t="s">
        <v>1317</v>
      </c>
      <c r="O1083" s="90" t="str">
        <f>_xlfn.TEXTJOIN(", ",TRUE,$P1083:$T1083)</f>
        <v>Distrital</v>
      </c>
      <c r="P1083" s="87" t="s">
        <v>73</v>
      </c>
      <c r="Q1083" s="87"/>
      <c r="R1083" s="87"/>
      <c r="S1083" s="87"/>
      <c r="T1083" s="87"/>
      <c r="U1083" s="87"/>
      <c r="V1083" s="90" t="str">
        <f>_xlfn.TEXTJOIN(", ",TRUE,$W1083:$AB1083)</f>
        <v>Distrital</v>
      </c>
      <c r="W1083" s="87" t="s">
        <v>73</v>
      </c>
      <c r="X1083" s="87"/>
      <c r="Y1083" s="87"/>
      <c r="Z1083" s="87"/>
      <c r="AA1083" s="87"/>
      <c r="AB1083" s="87"/>
      <c r="AC1083" s="90" t="str">
        <f>_xlfn.TEXTJOIN(", ",TRUE,$AD1083:$AM1083)</f>
        <v>Distrital</v>
      </c>
      <c r="AD1083" s="87" t="s">
        <v>73</v>
      </c>
      <c r="AE1083" s="87"/>
      <c r="AF1083" s="87"/>
      <c r="AG1083" s="87"/>
      <c r="AH1083" s="87"/>
      <c r="AI1083" s="87"/>
      <c r="AJ1083" s="87"/>
      <c r="AK1083" s="87"/>
      <c r="AL1083" s="87"/>
      <c r="AM1083" s="87"/>
      <c r="AN1083" s="90" t="s">
        <v>80</v>
      </c>
      <c r="AO1083" s="90" t="s">
        <v>4859</v>
      </c>
      <c r="AP1083" s="82"/>
      <c r="AQ1083" s="87" t="s">
        <v>59</v>
      </c>
      <c r="AR1083" s="87" t="s">
        <v>80</v>
      </c>
      <c r="AS1083" s="82"/>
      <c r="AT1083" s="87">
        <v>0</v>
      </c>
      <c r="AU1083" s="87">
        <v>10</v>
      </c>
      <c r="AV1083" s="87">
        <f t="shared" ref="AV1083" si="244">AT1083+AU1083</f>
        <v>10</v>
      </c>
      <c r="AW1083" s="87" t="str">
        <f t="shared" si="242"/>
        <v>Ninguna</v>
      </c>
      <c r="AX1083" s="87" t="s">
        <v>75</v>
      </c>
      <c r="AY1083" s="87"/>
      <c r="AZ1083" s="87"/>
      <c r="BA1083" s="91" t="s">
        <v>4860</v>
      </c>
      <c r="BB1083" s="84"/>
      <c r="BC1083" s="85"/>
      <c r="BD1083" s="85"/>
    </row>
    <row r="1084" spans="1:56" s="86" customFormat="1" ht="46.5" customHeight="1">
      <c r="A1084" s="78">
        <v>1079</v>
      </c>
      <c r="B1084" s="79" t="s">
        <v>4861</v>
      </c>
      <c r="C1084" s="88">
        <v>45572</v>
      </c>
      <c r="D1084" s="89">
        <v>0.66666666666666663</v>
      </c>
      <c r="E1084" s="87" t="s">
        <v>58</v>
      </c>
      <c r="F1084" s="87" t="s">
        <v>116</v>
      </c>
      <c r="G1084" s="87" t="s">
        <v>62</v>
      </c>
      <c r="H1084" s="90" t="s">
        <v>4862</v>
      </c>
      <c r="I1084" s="90" t="s">
        <v>118</v>
      </c>
      <c r="J1084" s="87" t="s">
        <v>119</v>
      </c>
      <c r="K1084" s="87"/>
      <c r="L1084" s="90" t="s">
        <v>4863</v>
      </c>
      <c r="M1084" s="91" t="s">
        <v>4205</v>
      </c>
      <c r="N1084" s="90" t="s">
        <v>4394</v>
      </c>
      <c r="O1084" s="90" t="str">
        <f t="shared" si="133"/>
        <v>Los Mártires</v>
      </c>
      <c r="P1084" s="87" t="s">
        <v>542</v>
      </c>
      <c r="Q1084" s="87"/>
      <c r="R1084" s="87"/>
      <c r="S1084" s="87"/>
      <c r="T1084" s="87"/>
      <c r="U1084" s="87"/>
      <c r="V1084" s="90" t="str">
        <f t="shared" si="137"/>
        <v>Centro Ampliado</v>
      </c>
      <c r="W1084" s="87" t="s">
        <v>415</v>
      </c>
      <c r="X1084" s="87"/>
      <c r="Y1084" s="87"/>
      <c r="Z1084" s="87"/>
      <c r="AA1084" s="87"/>
      <c r="AB1084" s="87"/>
      <c r="AC1084" s="90" t="str">
        <f t="shared" si="138"/>
        <v>Centro Histórico</v>
      </c>
      <c r="AD1084" s="87" t="s">
        <v>488</v>
      </c>
      <c r="AE1084" s="87"/>
      <c r="AF1084" s="87"/>
      <c r="AG1084" s="87"/>
      <c r="AH1084" s="87"/>
      <c r="AI1084" s="87"/>
      <c r="AJ1084" s="87"/>
      <c r="AK1084" s="87"/>
      <c r="AL1084" s="87"/>
      <c r="AM1084" s="87"/>
      <c r="AN1084" s="90" t="s">
        <v>3978</v>
      </c>
      <c r="AO1084" s="90" t="s">
        <v>4864</v>
      </c>
      <c r="AP1084" s="82"/>
      <c r="AQ1084" s="87" t="s">
        <v>59</v>
      </c>
      <c r="AR1084" s="87" t="s">
        <v>80</v>
      </c>
      <c r="AS1084" s="82"/>
      <c r="AT1084" s="87">
        <v>6</v>
      </c>
      <c r="AU1084" s="87">
        <v>1</v>
      </c>
      <c r="AV1084" s="87">
        <f t="shared" si="226"/>
        <v>7</v>
      </c>
      <c r="AW1084" s="87" t="str">
        <f t="shared" si="242"/>
        <v>Ninguna</v>
      </c>
      <c r="AX1084" s="87" t="s">
        <v>75</v>
      </c>
      <c r="AY1084" s="87"/>
      <c r="AZ1084" s="87"/>
      <c r="BA1084" s="91" t="s">
        <v>4865</v>
      </c>
      <c r="BB1084" s="84"/>
      <c r="BC1084" s="85"/>
      <c r="BD1084" s="85"/>
    </row>
    <row r="1085" spans="1:56" s="86" customFormat="1" ht="46.5" customHeight="1">
      <c r="A1085" s="87">
        <v>1080</v>
      </c>
      <c r="B1085" s="90" t="s">
        <v>4866</v>
      </c>
      <c r="C1085" s="88">
        <v>45573</v>
      </c>
      <c r="D1085" s="89">
        <v>0.33333333333333331</v>
      </c>
      <c r="E1085" s="87" t="s">
        <v>93</v>
      </c>
      <c r="F1085" s="87" t="s">
        <v>321</v>
      </c>
      <c r="G1085" s="87" t="s">
        <v>62</v>
      </c>
      <c r="H1085" s="90" t="s">
        <v>2064</v>
      </c>
      <c r="I1085" s="90" t="s">
        <v>118</v>
      </c>
      <c r="J1085" s="87" t="s">
        <v>70</v>
      </c>
      <c r="K1085" s="87" t="s">
        <v>1810</v>
      </c>
      <c r="L1085" s="90" t="s">
        <v>2065</v>
      </c>
      <c r="M1085" s="91" t="s">
        <v>3341</v>
      </c>
      <c r="N1085" s="90" t="s">
        <v>634</v>
      </c>
      <c r="O1085" s="90" t="str">
        <f t="shared" si="133"/>
        <v>Engativá</v>
      </c>
      <c r="P1085" s="87" t="s">
        <v>123</v>
      </c>
      <c r="Q1085" s="87"/>
      <c r="R1085" s="87"/>
      <c r="S1085" s="87"/>
      <c r="T1085" s="87"/>
      <c r="U1085" s="87"/>
      <c r="V1085" s="90" t="str">
        <f t="shared" si="137"/>
        <v>Occidente</v>
      </c>
      <c r="W1085" s="87" t="s">
        <v>124</v>
      </c>
      <c r="X1085" s="87"/>
      <c r="Y1085" s="87"/>
      <c r="Z1085" s="87"/>
      <c r="AA1085" s="87"/>
      <c r="AB1085" s="87"/>
      <c r="AC1085" s="90" t="str">
        <f t="shared" si="138"/>
        <v>Engativá</v>
      </c>
      <c r="AD1085" s="87" t="s">
        <v>123</v>
      </c>
      <c r="AE1085" s="87"/>
      <c r="AF1085" s="87"/>
      <c r="AG1085" s="87"/>
      <c r="AH1085" s="87"/>
      <c r="AI1085" s="87"/>
      <c r="AJ1085" s="87"/>
      <c r="AK1085" s="87"/>
      <c r="AL1085" s="87"/>
      <c r="AM1085" s="87"/>
      <c r="AN1085" s="90" t="s">
        <v>257</v>
      </c>
      <c r="AO1085" s="90" t="s">
        <v>4867</v>
      </c>
      <c r="AP1085" s="82"/>
      <c r="AQ1085" s="87" t="s">
        <v>59</v>
      </c>
      <c r="AR1085" s="87" t="s">
        <v>80</v>
      </c>
      <c r="AS1085" s="82"/>
      <c r="AT1085" s="87">
        <v>31</v>
      </c>
      <c r="AU1085" s="87">
        <v>1</v>
      </c>
      <c r="AV1085" s="87">
        <f t="shared" si="226"/>
        <v>32</v>
      </c>
      <c r="AW1085" s="87" t="str">
        <f t="shared" ref="AW1085" si="245">_xlfn.TEXTJOIN(", ",TRUE,$AX1085:$AZ1085)</f>
        <v>Accesibilidad Universal</v>
      </c>
      <c r="AX1085" s="87" t="s">
        <v>246</v>
      </c>
      <c r="AY1085" s="87"/>
      <c r="AZ1085" s="87"/>
      <c r="BA1085" s="91" t="s">
        <v>4868</v>
      </c>
      <c r="BB1085" s="84"/>
      <c r="BC1085" s="85"/>
      <c r="BD1085" s="85"/>
    </row>
    <row r="1086" spans="1:56" s="86" customFormat="1" ht="46.5" customHeight="1">
      <c r="A1086" s="78">
        <v>1081</v>
      </c>
      <c r="B1086" s="90" t="s">
        <v>4869</v>
      </c>
      <c r="C1086" s="88">
        <v>45573</v>
      </c>
      <c r="D1086" s="89">
        <v>0.375</v>
      </c>
      <c r="E1086" s="87" t="s">
        <v>58</v>
      </c>
      <c r="F1086" s="87" t="s">
        <v>2121</v>
      </c>
      <c r="G1086" s="87" t="s">
        <v>62</v>
      </c>
      <c r="H1086" s="90" t="s">
        <v>4870</v>
      </c>
      <c r="I1086" s="90" t="s">
        <v>118</v>
      </c>
      <c r="J1086" s="87" t="s">
        <v>70</v>
      </c>
      <c r="K1086" s="87" t="s">
        <v>71</v>
      </c>
      <c r="L1086" s="90" t="s">
        <v>4871</v>
      </c>
      <c r="M1086" s="91" t="s">
        <v>4541</v>
      </c>
      <c r="N1086" s="90" t="s">
        <v>1932</v>
      </c>
      <c r="O1086" s="90" t="str">
        <f>_xlfn.TEXTJOIN(", ",TRUE,$P1086:$T1086)</f>
        <v>Distrital</v>
      </c>
      <c r="P1086" s="87" t="s">
        <v>73</v>
      </c>
      <c r="Q1086" s="87"/>
      <c r="R1086" s="87"/>
      <c r="S1086" s="87"/>
      <c r="T1086" s="87"/>
      <c r="U1086" s="87"/>
      <c r="V1086" s="90" t="str">
        <f>_xlfn.TEXTJOIN(", ",TRUE,$W1086:$AB1086)</f>
        <v>Distrital</v>
      </c>
      <c r="W1086" s="87" t="s">
        <v>73</v>
      </c>
      <c r="X1086" s="87"/>
      <c r="Y1086" s="87"/>
      <c r="Z1086" s="87"/>
      <c r="AA1086" s="87"/>
      <c r="AB1086" s="87"/>
      <c r="AC1086" s="90" t="str">
        <f>_xlfn.TEXTJOIN(", ",TRUE,$AD1086:$AM1086)</f>
        <v>Distrital</v>
      </c>
      <c r="AD1086" s="87" t="s">
        <v>73</v>
      </c>
      <c r="AE1086" s="87"/>
      <c r="AF1086" s="87"/>
      <c r="AG1086" s="87"/>
      <c r="AH1086" s="87"/>
      <c r="AI1086" s="87"/>
      <c r="AJ1086" s="87"/>
      <c r="AK1086" s="87"/>
      <c r="AL1086" s="87"/>
      <c r="AM1086" s="87"/>
      <c r="AN1086" s="90" t="s">
        <v>80</v>
      </c>
      <c r="AO1086" s="90" t="s">
        <v>4872</v>
      </c>
      <c r="AP1086" s="82"/>
      <c r="AQ1086" s="87" t="s">
        <v>59</v>
      </c>
      <c r="AR1086" s="87" t="s">
        <v>80</v>
      </c>
      <c r="AS1086" s="82"/>
      <c r="AT1086" s="87">
        <v>7</v>
      </c>
      <c r="AU1086" s="87">
        <v>4</v>
      </c>
      <c r="AV1086" s="87">
        <f>AT1086+AU1086</f>
        <v>11</v>
      </c>
      <c r="AW1086" s="87" t="str">
        <f>_xlfn.TEXTJOIN(", ",TRUE,$AX1086:$AZ1086)</f>
        <v>Ninguna</v>
      </c>
      <c r="AX1086" s="87" t="s">
        <v>75</v>
      </c>
      <c r="AY1086" s="87"/>
      <c r="AZ1086" s="87"/>
      <c r="BA1086" s="91" t="s">
        <v>4873</v>
      </c>
      <c r="BB1086" s="84"/>
      <c r="BC1086" s="85"/>
      <c r="BD1086" s="85"/>
    </row>
    <row r="1087" spans="1:56" s="86" customFormat="1" ht="46.5" customHeight="1">
      <c r="A1087" s="87">
        <v>1082</v>
      </c>
      <c r="B1087" s="90" t="s">
        <v>4874</v>
      </c>
      <c r="C1087" s="88">
        <v>45573</v>
      </c>
      <c r="D1087" s="89">
        <v>0.375</v>
      </c>
      <c r="E1087" s="87" t="s">
        <v>58</v>
      </c>
      <c r="F1087" s="87" t="s">
        <v>1184</v>
      </c>
      <c r="G1087" s="87" t="s">
        <v>62</v>
      </c>
      <c r="H1087" s="90" t="s">
        <v>4875</v>
      </c>
      <c r="I1087" s="90" t="s">
        <v>118</v>
      </c>
      <c r="J1087" s="87" t="s">
        <v>70</v>
      </c>
      <c r="K1087" s="87" t="s">
        <v>324</v>
      </c>
      <c r="L1087" s="90" t="s">
        <v>2558</v>
      </c>
      <c r="M1087" s="91" t="s">
        <v>4876</v>
      </c>
      <c r="N1087" s="105" t="s">
        <v>4877</v>
      </c>
      <c r="O1087" s="90" t="str">
        <f t="shared" si="133"/>
        <v>Rafael Uribe Uribe</v>
      </c>
      <c r="P1087" s="87" t="s">
        <v>414</v>
      </c>
      <c r="Q1087" s="87"/>
      <c r="R1087" s="87"/>
      <c r="S1087" s="87"/>
      <c r="T1087" s="87"/>
      <c r="U1087" s="87"/>
      <c r="V1087" s="90" t="str">
        <f t="shared" si="137"/>
        <v>Suroriente</v>
      </c>
      <c r="W1087" s="87" t="s">
        <v>108</v>
      </c>
      <c r="X1087" s="87"/>
      <c r="Y1087" s="87"/>
      <c r="Z1087" s="87"/>
      <c r="AA1087" s="87"/>
      <c r="AB1087" s="87"/>
      <c r="AC1087" s="90" t="str">
        <f t="shared" si="138"/>
        <v>Rafael Uribe</v>
      </c>
      <c r="AD1087" s="87" t="s">
        <v>467</v>
      </c>
      <c r="AE1087" s="87"/>
      <c r="AF1087" s="87"/>
      <c r="AG1087" s="87"/>
      <c r="AH1087" s="87"/>
      <c r="AI1087" s="87"/>
      <c r="AJ1087" s="87"/>
      <c r="AK1087" s="87"/>
      <c r="AL1087" s="87"/>
      <c r="AM1087" s="87"/>
      <c r="AN1087" s="90" t="s">
        <v>80</v>
      </c>
      <c r="AO1087" s="90" t="s">
        <v>600</v>
      </c>
      <c r="AP1087" s="82"/>
      <c r="AQ1087" s="87" t="s">
        <v>59</v>
      </c>
      <c r="AR1087" s="87" t="s">
        <v>80</v>
      </c>
      <c r="AS1087" s="82"/>
      <c r="AT1087" s="87">
        <v>8</v>
      </c>
      <c r="AU1087" s="87">
        <v>5</v>
      </c>
      <c r="AV1087" s="87">
        <f t="shared" ref="AV1087:AV1089" si="246">AT1087+AU1087</f>
        <v>13</v>
      </c>
      <c r="AW1087" s="87" t="str">
        <f t="shared" ref="AW1087:AW1089" si="247">_xlfn.TEXTJOIN(", ",TRUE,$AX1087:$AZ1087)</f>
        <v>Ninguna</v>
      </c>
      <c r="AX1087" s="87" t="s">
        <v>75</v>
      </c>
      <c r="AY1087" s="87"/>
      <c r="AZ1087" s="87"/>
      <c r="BA1087" s="91" t="s">
        <v>4878</v>
      </c>
      <c r="BB1087" s="84"/>
      <c r="BC1087" s="85"/>
      <c r="BD1087" s="85"/>
    </row>
    <row r="1088" spans="1:56" s="86" customFormat="1" ht="46.5" customHeight="1">
      <c r="A1088" s="78">
        <v>1083</v>
      </c>
      <c r="B1088" s="90" t="s">
        <v>4879</v>
      </c>
      <c r="C1088" s="88">
        <v>45573</v>
      </c>
      <c r="D1088" s="89">
        <v>0.375</v>
      </c>
      <c r="E1088" s="87" t="s">
        <v>58</v>
      </c>
      <c r="F1088" s="87" t="s">
        <v>1184</v>
      </c>
      <c r="G1088" s="87" t="s">
        <v>62</v>
      </c>
      <c r="H1088" s="90" t="s">
        <v>4880</v>
      </c>
      <c r="I1088" s="90" t="s">
        <v>118</v>
      </c>
      <c r="J1088" s="87" t="s">
        <v>70</v>
      </c>
      <c r="K1088" s="87" t="s">
        <v>324</v>
      </c>
      <c r="L1088" s="90" t="s">
        <v>4881</v>
      </c>
      <c r="M1088" s="91" t="s">
        <v>2765</v>
      </c>
      <c r="N1088" s="90" t="s">
        <v>2016</v>
      </c>
      <c r="O1088" s="90" t="str">
        <f t="shared" si="133"/>
        <v>Bosa</v>
      </c>
      <c r="P1088" s="87" t="s">
        <v>472</v>
      </c>
      <c r="Q1088" s="87"/>
      <c r="R1088" s="87"/>
      <c r="S1088" s="87"/>
      <c r="T1088" s="87"/>
      <c r="U1088" s="87"/>
      <c r="V1088" s="90" t="str">
        <f t="shared" si="137"/>
        <v>Suroccidente</v>
      </c>
      <c r="W1088" s="87" t="s">
        <v>474</v>
      </c>
      <c r="X1088" s="87"/>
      <c r="Y1088" s="87"/>
      <c r="Z1088" s="87"/>
      <c r="AA1088" s="87"/>
      <c r="AB1088" s="87"/>
      <c r="AC1088" s="90" t="str">
        <f t="shared" si="138"/>
        <v>Bosa</v>
      </c>
      <c r="AD1088" s="87" t="s">
        <v>472</v>
      </c>
      <c r="AE1088" s="87"/>
      <c r="AF1088" s="87"/>
      <c r="AG1088" s="87"/>
      <c r="AH1088" s="87"/>
      <c r="AI1088" s="87"/>
      <c r="AJ1088" s="87"/>
      <c r="AK1088" s="87"/>
      <c r="AL1088" s="87"/>
      <c r="AM1088" s="87"/>
      <c r="AN1088" s="90" t="s">
        <v>472</v>
      </c>
      <c r="AO1088" s="90" t="s">
        <v>4882</v>
      </c>
      <c r="AP1088" s="82"/>
      <c r="AQ1088" s="87" t="s">
        <v>59</v>
      </c>
      <c r="AR1088" s="87" t="s">
        <v>80</v>
      </c>
      <c r="AS1088" s="82"/>
      <c r="AT1088" s="87">
        <v>6</v>
      </c>
      <c r="AU1088" s="87">
        <v>6</v>
      </c>
      <c r="AV1088" s="87">
        <f t="shared" si="246"/>
        <v>12</v>
      </c>
      <c r="AW1088" s="87" t="str">
        <f t="shared" si="247"/>
        <v>Ninguna</v>
      </c>
      <c r="AX1088" s="87" t="s">
        <v>75</v>
      </c>
      <c r="AY1088" s="87"/>
      <c r="AZ1088" s="87"/>
      <c r="BA1088" s="91" t="s">
        <v>4883</v>
      </c>
      <c r="BB1088" s="84"/>
      <c r="BC1088" s="85"/>
      <c r="BD1088" s="85"/>
    </row>
    <row r="1089" spans="1:56" s="86" customFormat="1" ht="46.5" customHeight="1">
      <c r="A1089" s="87">
        <v>1084</v>
      </c>
      <c r="B1089" s="90" t="s">
        <v>4884</v>
      </c>
      <c r="C1089" s="88">
        <v>45573</v>
      </c>
      <c r="D1089" s="89">
        <v>0.39583333333333331</v>
      </c>
      <c r="E1089" s="87" t="s">
        <v>58</v>
      </c>
      <c r="F1089" s="87" t="s">
        <v>149</v>
      </c>
      <c r="G1089" s="87" t="s">
        <v>62</v>
      </c>
      <c r="H1089" s="90" t="s">
        <v>4885</v>
      </c>
      <c r="I1089" s="90" t="s">
        <v>118</v>
      </c>
      <c r="J1089" s="87" t="s">
        <v>173</v>
      </c>
      <c r="K1089" s="87"/>
      <c r="L1089" s="90" t="s">
        <v>4886</v>
      </c>
      <c r="M1089" s="91" t="s">
        <v>4887</v>
      </c>
      <c r="N1089" s="90" t="s">
        <v>4888</v>
      </c>
      <c r="O1089" s="90" t="str">
        <f t="shared" si="133"/>
        <v>Teusaquillo</v>
      </c>
      <c r="P1089" s="87" t="s">
        <v>665</v>
      </c>
      <c r="Q1089" s="87"/>
      <c r="R1089" s="87"/>
      <c r="S1089" s="87"/>
      <c r="T1089" s="87"/>
      <c r="U1089" s="87"/>
      <c r="V1089" s="90" t="str">
        <f t="shared" si="137"/>
        <v>Suroriente</v>
      </c>
      <c r="W1089" s="87" t="s">
        <v>108</v>
      </c>
      <c r="X1089" s="87"/>
      <c r="Y1089" s="87"/>
      <c r="Z1089" s="87"/>
      <c r="AA1089" s="87"/>
      <c r="AB1089" s="87"/>
      <c r="AC1089" s="90" t="str">
        <f t="shared" si="138"/>
        <v>Tunjuelito</v>
      </c>
      <c r="AD1089" s="87" t="s">
        <v>618</v>
      </c>
      <c r="AE1089" s="87"/>
      <c r="AF1089" s="87"/>
      <c r="AG1089" s="87"/>
      <c r="AH1089" s="87"/>
      <c r="AI1089" s="87"/>
      <c r="AJ1089" s="87"/>
      <c r="AK1089" s="87"/>
      <c r="AL1089" s="87"/>
      <c r="AM1089" s="87"/>
      <c r="AN1089" s="90" t="s">
        <v>618</v>
      </c>
      <c r="AO1089" s="90" t="s">
        <v>4889</v>
      </c>
      <c r="AP1089" s="82"/>
      <c r="AQ1089" s="87" t="s">
        <v>59</v>
      </c>
      <c r="AR1089" s="87" t="s">
        <v>80</v>
      </c>
      <c r="AS1089" s="82"/>
      <c r="AT1089" s="87">
        <v>16</v>
      </c>
      <c r="AU1089" s="87">
        <v>3</v>
      </c>
      <c r="AV1089" s="87">
        <f t="shared" si="246"/>
        <v>19</v>
      </c>
      <c r="AW1089" s="87" t="str">
        <f t="shared" si="247"/>
        <v>Ninguna</v>
      </c>
      <c r="AX1089" s="87" t="s">
        <v>75</v>
      </c>
      <c r="AY1089" s="87"/>
      <c r="AZ1089" s="87"/>
      <c r="BA1089" s="91" t="s">
        <v>4890</v>
      </c>
      <c r="BB1089" s="84"/>
      <c r="BC1089" s="85"/>
      <c r="BD1089" s="85"/>
    </row>
    <row r="1090" spans="1:56" s="86" customFormat="1" ht="46.5" customHeight="1">
      <c r="A1090" s="78">
        <v>1085</v>
      </c>
      <c r="B1090" s="90" t="s">
        <v>4891</v>
      </c>
      <c r="C1090" s="88">
        <v>45573</v>
      </c>
      <c r="D1090" s="89">
        <v>0.58333333333333337</v>
      </c>
      <c r="E1090" s="87" t="s">
        <v>93</v>
      </c>
      <c r="F1090" s="87" t="s">
        <v>321</v>
      </c>
      <c r="G1090" s="87" t="s">
        <v>62</v>
      </c>
      <c r="H1090" s="90" t="s">
        <v>4520</v>
      </c>
      <c r="I1090" s="90" t="s">
        <v>118</v>
      </c>
      <c r="J1090" s="87" t="s">
        <v>70</v>
      </c>
      <c r="K1090" s="87" t="s">
        <v>1810</v>
      </c>
      <c r="L1090" s="90" t="s">
        <v>4892</v>
      </c>
      <c r="M1090" s="91" t="s">
        <v>1317</v>
      </c>
      <c r="N1090" s="90" t="s">
        <v>4234</v>
      </c>
      <c r="O1090" s="90" t="str">
        <f t="shared" si="133"/>
        <v>Chapinero</v>
      </c>
      <c r="P1090" s="87" t="s">
        <v>221</v>
      </c>
      <c r="Q1090" s="87"/>
      <c r="R1090" s="87"/>
      <c r="S1090" s="87"/>
      <c r="T1090" s="87"/>
      <c r="U1090" s="87"/>
      <c r="V1090" s="90" t="str">
        <f t="shared" si="137"/>
        <v>Centro Ampliado</v>
      </c>
      <c r="W1090" s="87" t="s">
        <v>415</v>
      </c>
      <c r="X1090" s="87"/>
      <c r="Y1090" s="87"/>
      <c r="Z1090" s="87"/>
      <c r="AA1090" s="87"/>
      <c r="AB1090" s="87"/>
      <c r="AC1090" s="90" t="str">
        <f t="shared" si="138"/>
        <v>Chapinero</v>
      </c>
      <c r="AD1090" s="87" t="s">
        <v>221</v>
      </c>
      <c r="AE1090" s="87"/>
      <c r="AF1090" s="87"/>
      <c r="AG1090" s="87"/>
      <c r="AH1090" s="87"/>
      <c r="AI1090" s="87"/>
      <c r="AJ1090" s="87"/>
      <c r="AK1090" s="87"/>
      <c r="AL1090" s="87"/>
      <c r="AM1090" s="87"/>
      <c r="AN1090" s="90" t="s">
        <v>221</v>
      </c>
      <c r="AO1090" s="90" t="s">
        <v>4893</v>
      </c>
      <c r="AP1090" s="82"/>
      <c r="AQ1090" s="87" t="s">
        <v>59</v>
      </c>
      <c r="AR1090" s="87" t="s">
        <v>80</v>
      </c>
      <c r="AS1090" s="82"/>
      <c r="AT1090" s="87">
        <v>24</v>
      </c>
      <c r="AU1090" s="87">
        <v>1</v>
      </c>
      <c r="AV1090" s="87">
        <f t="shared" ref="AV1090" si="248">AT1090+AU1090</f>
        <v>25</v>
      </c>
      <c r="AW1090" s="87" t="str">
        <f t="shared" ref="AW1090" si="249">_xlfn.TEXTJOIN(", ",TRUE,$AX1090:$AZ1090)</f>
        <v>Horarios Acordes</v>
      </c>
      <c r="AX1090" s="87" t="s">
        <v>213</v>
      </c>
      <c r="AY1090" s="87"/>
      <c r="AZ1090" s="87"/>
      <c r="BA1090" s="91" t="s">
        <v>4894</v>
      </c>
      <c r="BB1090" s="84"/>
      <c r="BC1090" s="85"/>
      <c r="BD1090" s="85"/>
    </row>
    <row r="1091" spans="1:56" s="86" customFormat="1" ht="46.5" customHeight="1">
      <c r="A1091" s="87">
        <v>1086</v>
      </c>
      <c r="B1091" s="90" t="s">
        <v>4895</v>
      </c>
      <c r="C1091" s="88">
        <v>45573</v>
      </c>
      <c r="D1091" s="89">
        <v>0.58333333333333337</v>
      </c>
      <c r="E1091" s="87" t="s">
        <v>58</v>
      </c>
      <c r="F1091" s="87" t="s">
        <v>149</v>
      </c>
      <c r="G1091" s="87" t="s">
        <v>62</v>
      </c>
      <c r="H1091" s="90" t="s">
        <v>4896</v>
      </c>
      <c r="I1091" s="90" t="s">
        <v>64</v>
      </c>
      <c r="J1091" s="87" t="s">
        <v>376</v>
      </c>
      <c r="K1091" s="87" t="s">
        <v>533</v>
      </c>
      <c r="L1091" s="90" t="s">
        <v>4897</v>
      </c>
      <c r="M1091" s="91" t="s">
        <v>4898</v>
      </c>
      <c r="N1091" s="90" t="s">
        <v>4899</v>
      </c>
      <c r="O1091" s="90" t="str">
        <f t="shared" si="133"/>
        <v>Suba</v>
      </c>
      <c r="P1091" s="87" t="s">
        <v>394</v>
      </c>
      <c r="Q1091" s="87"/>
      <c r="R1091" s="87"/>
      <c r="S1091" s="87"/>
      <c r="T1091" s="87"/>
      <c r="U1091" s="87"/>
      <c r="V1091" s="90" t="str">
        <f t="shared" si="137"/>
        <v>Noroccidente</v>
      </c>
      <c r="W1091" s="87" t="s">
        <v>395</v>
      </c>
      <c r="X1091" s="87"/>
      <c r="Y1091" s="87"/>
      <c r="Z1091" s="87"/>
      <c r="AA1091" s="87"/>
      <c r="AB1091" s="87"/>
      <c r="AC1091" s="90" t="str">
        <f t="shared" si="138"/>
        <v>Suba, Tibabuyes</v>
      </c>
      <c r="AD1091" s="87" t="s">
        <v>394</v>
      </c>
      <c r="AE1091" s="87" t="s">
        <v>924</v>
      </c>
      <c r="AF1091" s="87"/>
      <c r="AG1091" s="87"/>
      <c r="AH1091" s="87"/>
      <c r="AI1091" s="87"/>
      <c r="AJ1091" s="87"/>
      <c r="AK1091" s="87"/>
      <c r="AL1091" s="87"/>
      <c r="AM1091" s="87"/>
      <c r="AN1091" s="90" t="s">
        <v>4900</v>
      </c>
      <c r="AO1091" s="90" t="s">
        <v>4901</v>
      </c>
      <c r="AP1091" s="82"/>
      <c r="AQ1091" s="87" t="s">
        <v>59</v>
      </c>
      <c r="AR1091" s="87" t="s">
        <v>80</v>
      </c>
      <c r="AS1091" s="82"/>
      <c r="AT1091" s="87">
        <v>2</v>
      </c>
      <c r="AU1091" s="87">
        <v>3</v>
      </c>
      <c r="AV1091" s="87">
        <f t="shared" ref="AV1091:AV1095" si="250">AT1091+AU1091</f>
        <v>5</v>
      </c>
      <c r="AW1091" s="87" t="str">
        <f t="shared" ref="AW1091" si="251">_xlfn.TEXTJOIN(", ",TRUE,$AX1091:$AZ1091)</f>
        <v>Horarios Acordes</v>
      </c>
      <c r="AX1091" s="87" t="s">
        <v>213</v>
      </c>
      <c r="AY1091" s="87"/>
      <c r="AZ1091" s="87"/>
      <c r="BA1091" s="91" t="s">
        <v>4902</v>
      </c>
      <c r="BB1091" s="84"/>
      <c r="BC1091" s="85"/>
      <c r="BD1091" s="85"/>
    </row>
    <row r="1092" spans="1:56" s="86" customFormat="1" ht="46.5" customHeight="1">
      <c r="A1092" s="78">
        <v>1087</v>
      </c>
      <c r="B1092" s="90" t="s">
        <v>1096</v>
      </c>
      <c r="C1092" s="88">
        <v>45573</v>
      </c>
      <c r="D1092" s="89">
        <v>0.58333333333333337</v>
      </c>
      <c r="E1092" s="87" t="s">
        <v>93</v>
      </c>
      <c r="F1092" s="87" t="s">
        <v>321</v>
      </c>
      <c r="G1092" s="87" t="s">
        <v>62</v>
      </c>
      <c r="H1092" s="90" t="s">
        <v>4903</v>
      </c>
      <c r="I1092" s="90" t="s">
        <v>118</v>
      </c>
      <c r="J1092" s="87" t="s">
        <v>70</v>
      </c>
      <c r="K1092" s="87" t="s">
        <v>1810</v>
      </c>
      <c r="L1092" s="90" t="s">
        <v>1317</v>
      </c>
      <c r="M1092" s="90" t="s">
        <v>1317</v>
      </c>
      <c r="N1092" s="90" t="s">
        <v>1317</v>
      </c>
      <c r="O1092" s="90" t="str">
        <f t="shared" si="133"/>
        <v>Fontibón</v>
      </c>
      <c r="P1092" s="87" t="s">
        <v>420</v>
      </c>
      <c r="Q1092" s="87"/>
      <c r="R1092" s="87"/>
      <c r="S1092" s="87"/>
      <c r="T1092" s="87"/>
      <c r="U1092" s="87"/>
      <c r="V1092" s="90" t="str">
        <f t="shared" si="137"/>
        <v>Occidente</v>
      </c>
      <c r="W1092" s="87" t="s">
        <v>124</v>
      </c>
      <c r="X1092" s="87"/>
      <c r="Y1092" s="87"/>
      <c r="Z1092" s="87"/>
      <c r="AA1092" s="87"/>
      <c r="AB1092" s="87"/>
      <c r="AC1092" s="90" t="str">
        <f t="shared" si="138"/>
        <v>Fontibón</v>
      </c>
      <c r="AD1092" s="87" t="s">
        <v>420</v>
      </c>
      <c r="AE1092" s="87"/>
      <c r="AF1092" s="87"/>
      <c r="AG1092" s="87"/>
      <c r="AH1092" s="87"/>
      <c r="AI1092" s="87"/>
      <c r="AJ1092" s="87"/>
      <c r="AK1092" s="87"/>
      <c r="AL1092" s="87"/>
      <c r="AM1092" s="87"/>
      <c r="AN1092" s="90" t="s">
        <v>420</v>
      </c>
      <c r="AO1092" s="90" t="s">
        <v>4904</v>
      </c>
      <c r="AP1092" s="82"/>
      <c r="AQ1092" s="87" t="s">
        <v>59</v>
      </c>
      <c r="AR1092" s="87" t="s">
        <v>80</v>
      </c>
      <c r="AS1092" s="82"/>
      <c r="AT1092" s="87">
        <v>18</v>
      </c>
      <c r="AU1092" s="87">
        <v>1</v>
      </c>
      <c r="AV1092" s="87">
        <f t="shared" si="250"/>
        <v>19</v>
      </c>
      <c r="AW1092" s="87" t="str">
        <f t="shared" ref="AW1092:AW1110" si="252">_xlfn.TEXTJOIN(", ",TRUE,$AX1092:$AZ1092)</f>
        <v>Contenidos adaptados</v>
      </c>
      <c r="AX1092" s="87" t="s">
        <v>212</v>
      </c>
      <c r="AY1092" s="87"/>
      <c r="AZ1092" s="87"/>
      <c r="BA1092" s="91" t="s">
        <v>4905</v>
      </c>
      <c r="BB1092" s="84"/>
      <c r="BC1092" s="85"/>
      <c r="BD1092" s="85"/>
    </row>
    <row r="1093" spans="1:56" s="86" customFormat="1" ht="46.5" customHeight="1">
      <c r="A1093" s="87">
        <v>1088</v>
      </c>
      <c r="B1093" s="90" t="s">
        <v>4906</v>
      </c>
      <c r="C1093" s="88">
        <v>45573</v>
      </c>
      <c r="D1093" s="89">
        <v>0.625</v>
      </c>
      <c r="E1093" s="87" t="s">
        <v>58</v>
      </c>
      <c r="F1093" s="87" t="s">
        <v>149</v>
      </c>
      <c r="G1093" s="87" t="s">
        <v>95</v>
      </c>
      <c r="H1093" s="90" t="s">
        <v>4907</v>
      </c>
      <c r="I1093" s="90" t="s">
        <v>64</v>
      </c>
      <c r="J1093" s="87" t="s">
        <v>173</v>
      </c>
      <c r="K1093" s="87"/>
      <c r="L1093" s="90" t="s">
        <v>1317</v>
      </c>
      <c r="M1093" s="90" t="s">
        <v>1317</v>
      </c>
      <c r="N1093" s="90" t="s">
        <v>1317</v>
      </c>
      <c r="O1093" s="90" t="str">
        <f t="shared" si="133"/>
        <v>Distrital</v>
      </c>
      <c r="P1093" s="87" t="s">
        <v>73</v>
      </c>
      <c r="Q1093" s="87"/>
      <c r="R1093" s="87"/>
      <c r="S1093" s="87"/>
      <c r="T1093" s="87"/>
      <c r="U1093" s="87"/>
      <c r="V1093" s="90" t="str">
        <f t="shared" si="137"/>
        <v>Distrital</v>
      </c>
      <c r="W1093" s="87" t="s">
        <v>73</v>
      </c>
      <c r="X1093" s="87"/>
      <c r="Y1093" s="87"/>
      <c r="Z1093" s="87"/>
      <c r="AA1093" s="87"/>
      <c r="AB1093" s="87"/>
      <c r="AC1093" s="90" t="str">
        <f t="shared" si="138"/>
        <v>Distrital</v>
      </c>
      <c r="AD1093" s="87" t="s">
        <v>73</v>
      </c>
      <c r="AE1093" s="87"/>
      <c r="AF1093" s="87"/>
      <c r="AG1093" s="87"/>
      <c r="AH1093" s="87"/>
      <c r="AI1093" s="87"/>
      <c r="AJ1093" s="87"/>
      <c r="AK1093" s="87"/>
      <c r="AL1093" s="87"/>
      <c r="AM1093" s="87"/>
      <c r="AN1093" s="90" t="s">
        <v>80</v>
      </c>
      <c r="AO1093" s="102" t="s">
        <v>2667</v>
      </c>
      <c r="AP1093" s="82"/>
      <c r="AQ1093" s="87" t="s">
        <v>59</v>
      </c>
      <c r="AR1093" s="87" t="s">
        <v>80</v>
      </c>
      <c r="AS1093" s="82"/>
      <c r="AT1093" s="87">
        <v>0</v>
      </c>
      <c r="AU1093" s="87">
        <v>2</v>
      </c>
      <c r="AV1093" s="87">
        <f t="shared" si="250"/>
        <v>2</v>
      </c>
      <c r="AW1093" s="87" t="str">
        <f>_xlfn.TEXTJOIN(", ",TRUE,$AX1093:$AZ1093)</f>
        <v>Ninguna</v>
      </c>
      <c r="AX1093" s="87" t="s">
        <v>75</v>
      </c>
      <c r="AY1093" s="87"/>
      <c r="AZ1093" s="87"/>
      <c r="BA1093" s="91" t="s">
        <v>4908</v>
      </c>
      <c r="BB1093" s="84"/>
      <c r="BC1093" s="85"/>
      <c r="BD1093" s="85"/>
    </row>
    <row r="1094" spans="1:56" s="86" customFormat="1" ht="46.5" customHeight="1">
      <c r="A1094" s="78">
        <v>1089</v>
      </c>
      <c r="B1094" s="90" t="s">
        <v>4909</v>
      </c>
      <c r="C1094" s="88">
        <v>45573</v>
      </c>
      <c r="D1094" s="89">
        <v>0.66666666666666663</v>
      </c>
      <c r="E1094" s="87" t="s">
        <v>58</v>
      </c>
      <c r="F1094" s="87" t="s">
        <v>2121</v>
      </c>
      <c r="G1094" s="87" t="s">
        <v>62</v>
      </c>
      <c r="H1094" s="90" t="s">
        <v>4910</v>
      </c>
      <c r="I1094" s="90" t="s">
        <v>188</v>
      </c>
      <c r="J1094" s="87" t="s">
        <v>173</v>
      </c>
      <c r="K1094" s="87"/>
      <c r="L1094" s="90" t="s">
        <v>4911</v>
      </c>
      <c r="M1094" s="91" t="s">
        <v>4912</v>
      </c>
      <c r="N1094" s="90" t="s">
        <v>4913</v>
      </c>
      <c r="O1094" s="90" t="str">
        <f>_xlfn.TEXTJOIN(", ",TRUE,$P1094:$T1094)</f>
        <v>Suba</v>
      </c>
      <c r="P1094" s="87" t="s">
        <v>394</v>
      </c>
      <c r="Q1094" s="87"/>
      <c r="R1094" s="87"/>
      <c r="S1094" s="87"/>
      <c r="T1094" s="87"/>
      <c r="U1094" s="87"/>
      <c r="V1094" s="90" t="str">
        <f>_xlfn.TEXTJOIN(", ",TRUE,$W1094:$AB1094)</f>
        <v>Noroccidente</v>
      </c>
      <c r="W1094" s="87" t="s">
        <v>395</v>
      </c>
      <c r="X1094" s="87"/>
      <c r="Y1094" s="87"/>
      <c r="Z1094" s="87"/>
      <c r="AA1094" s="87"/>
      <c r="AB1094" s="87"/>
      <c r="AC1094" s="90" t="str">
        <f>_xlfn.TEXTJOIN(", ",TRUE,$AD1094:$AM1094)</f>
        <v>Suba</v>
      </c>
      <c r="AD1094" s="87" t="s">
        <v>394</v>
      </c>
      <c r="AE1094" s="87"/>
      <c r="AF1094" s="87"/>
      <c r="AG1094" s="87"/>
      <c r="AH1094" s="87"/>
      <c r="AI1094" s="87"/>
      <c r="AJ1094" s="87"/>
      <c r="AK1094" s="87"/>
      <c r="AL1094" s="87"/>
      <c r="AM1094" s="87"/>
      <c r="AN1094" s="90" t="s">
        <v>80</v>
      </c>
      <c r="AO1094" s="90" t="s">
        <v>3304</v>
      </c>
      <c r="AP1094" s="82"/>
      <c r="AQ1094" s="87" t="s">
        <v>59</v>
      </c>
      <c r="AR1094" s="87" t="s">
        <v>80</v>
      </c>
      <c r="AS1094" s="82"/>
      <c r="AT1094" s="87">
        <v>14</v>
      </c>
      <c r="AU1094" s="87">
        <v>3</v>
      </c>
      <c r="AV1094" s="87">
        <f>AT1094+AU1094</f>
        <v>17</v>
      </c>
      <c r="AW1094" s="87" t="str">
        <f>_xlfn.TEXTJOIN(", ",TRUE,$AX1094:$AZ1094)</f>
        <v>Horarios Acordes</v>
      </c>
      <c r="AX1094" s="87" t="s">
        <v>213</v>
      </c>
      <c r="AY1094" s="87"/>
      <c r="AZ1094" s="87"/>
      <c r="BA1094" s="91" t="s">
        <v>4914</v>
      </c>
      <c r="BB1094" s="84"/>
      <c r="BC1094" s="85"/>
      <c r="BD1094" s="85"/>
    </row>
    <row r="1095" spans="1:56" s="86" customFormat="1" ht="46.5" customHeight="1">
      <c r="A1095" s="87">
        <v>1090</v>
      </c>
      <c r="B1095" s="90" t="s">
        <v>4915</v>
      </c>
      <c r="C1095" s="88">
        <v>45573</v>
      </c>
      <c r="D1095" s="89">
        <v>0.66666666666666663</v>
      </c>
      <c r="E1095" s="87" t="s">
        <v>58</v>
      </c>
      <c r="F1095" s="87" t="s">
        <v>2121</v>
      </c>
      <c r="G1095" s="87" t="s">
        <v>95</v>
      </c>
      <c r="H1095" s="90" t="s">
        <v>4916</v>
      </c>
      <c r="I1095" s="90" t="s">
        <v>118</v>
      </c>
      <c r="J1095" s="87" t="s">
        <v>70</v>
      </c>
      <c r="K1095" s="87" t="s">
        <v>71</v>
      </c>
      <c r="L1095" s="90" t="s">
        <v>4917</v>
      </c>
      <c r="M1095" s="91" t="s">
        <v>4918</v>
      </c>
      <c r="N1095" s="90" t="s">
        <v>4919</v>
      </c>
      <c r="O1095" s="90" t="str">
        <f>_xlfn.TEXTJOIN(", ",TRUE,$P1095:$T1095)</f>
        <v>Distrital</v>
      </c>
      <c r="P1095" s="87" t="s">
        <v>73</v>
      </c>
      <c r="Q1095" s="87"/>
      <c r="R1095" s="87"/>
      <c r="S1095" s="87"/>
      <c r="T1095" s="87"/>
      <c r="U1095" s="87"/>
      <c r="V1095" s="90" t="str">
        <f>_xlfn.TEXTJOIN(", ",TRUE,$W1095:$AB1095)</f>
        <v>Distrital</v>
      </c>
      <c r="W1095" s="87" t="s">
        <v>73</v>
      </c>
      <c r="X1095" s="87"/>
      <c r="Y1095" s="87"/>
      <c r="Z1095" s="87"/>
      <c r="AA1095" s="87"/>
      <c r="AB1095" s="87"/>
      <c r="AC1095" s="90" t="str">
        <f>_xlfn.TEXTJOIN(", ",TRUE,$AD1095:$AM1095)</f>
        <v>Distrital</v>
      </c>
      <c r="AD1095" s="87" t="s">
        <v>73</v>
      </c>
      <c r="AE1095" s="87"/>
      <c r="AF1095" s="87"/>
      <c r="AG1095" s="87"/>
      <c r="AH1095" s="87"/>
      <c r="AI1095" s="87"/>
      <c r="AJ1095" s="87"/>
      <c r="AK1095" s="87"/>
      <c r="AL1095" s="87"/>
      <c r="AM1095" s="87"/>
      <c r="AN1095" s="90" t="s">
        <v>80</v>
      </c>
      <c r="AO1095" s="102" t="s">
        <v>2638</v>
      </c>
      <c r="AP1095" s="82"/>
      <c r="AQ1095" s="87" t="s">
        <v>59</v>
      </c>
      <c r="AR1095" s="87" t="s">
        <v>80</v>
      </c>
      <c r="AS1095" s="82"/>
      <c r="AT1095" s="87">
        <v>8</v>
      </c>
      <c r="AU1095" s="87">
        <v>1</v>
      </c>
      <c r="AV1095" s="87">
        <f t="shared" si="250"/>
        <v>9</v>
      </c>
      <c r="AW1095" s="87" t="str">
        <f>_xlfn.TEXTJOIN(", ",TRUE,$AX1095:$AZ1095)</f>
        <v>Ninguna</v>
      </c>
      <c r="AX1095" s="87" t="s">
        <v>75</v>
      </c>
      <c r="AY1095" s="87"/>
      <c r="AZ1095" s="87"/>
      <c r="BA1095" s="91" t="s">
        <v>4920</v>
      </c>
      <c r="BB1095" s="84"/>
      <c r="BC1095" s="85"/>
      <c r="BD1095" s="85"/>
    </row>
    <row r="1096" spans="1:56" s="86" customFormat="1" ht="40.5" customHeight="1">
      <c r="A1096" s="78">
        <v>1091</v>
      </c>
      <c r="B1096" s="79" t="s">
        <v>4921</v>
      </c>
      <c r="C1096" s="88">
        <v>45574</v>
      </c>
      <c r="D1096" s="89">
        <v>0.35416666666666669</v>
      </c>
      <c r="E1096" s="87" t="s">
        <v>58</v>
      </c>
      <c r="F1096" s="87" t="s">
        <v>1142</v>
      </c>
      <c r="G1096" s="87" t="s">
        <v>62</v>
      </c>
      <c r="H1096" s="90" t="s">
        <v>4922</v>
      </c>
      <c r="I1096" s="90" t="s">
        <v>118</v>
      </c>
      <c r="J1096" s="87" t="s">
        <v>70</v>
      </c>
      <c r="K1096" s="87" t="s">
        <v>71</v>
      </c>
      <c r="L1096" s="90" t="s">
        <v>4923</v>
      </c>
      <c r="M1096" s="91" t="s">
        <v>72</v>
      </c>
      <c r="N1096" s="90" t="s">
        <v>72</v>
      </c>
      <c r="O1096" s="90" t="str">
        <f>_xlfn.TEXTJOIN(", ",TRUE,$P1096:$T1096)</f>
        <v>Distrital</v>
      </c>
      <c r="P1096" s="87" t="s">
        <v>73</v>
      </c>
      <c r="Q1096" s="87"/>
      <c r="R1096" s="87"/>
      <c r="S1096" s="87"/>
      <c r="T1096" s="87"/>
      <c r="U1096" s="87"/>
      <c r="V1096" s="90" t="str">
        <f>_xlfn.TEXTJOIN(", ",TRUE,$W1096:$AB1096)</f>
        <v>Distrital</v>
      </c>
      <c r="W1096" s="87" t="s">
        <v>73</v>
      </c>
      <c r="X1096" s="87"/>
      <c r="Y1096" s="87"/>
      <c r="Z1096" s="87"/>
      <c r="AA1096" s="87"/>
      <c r="AB1096" s="87"/>
      <c r="AC1096" s="90" t="str">
        <f>_xlfn.TEXTJOIN(", ",TRUE,$AD1096:$AM1096)</f>
        <v>Distrital</v>
      </c>
      <c r="AD1096" s="87" t="s">
        <v>73</v>
      </c>
      <c r="AE1096" s="87"/>
      <c r="AF1096" s="87"/>
      <c r="AG1096" s="87"/>
      <c r="AH1096" s="87"/>
      <c r="AI1096" s="87"/>
      <c r="AJ1096" s="87"/>
      <c r="AK1096" s="87"/>
      <c r="AL1096" s="87"/>
      <c r="AM1096" s="87"/>
      <c r="AN1096" s="90" t="s">
        <v>80</v>
      </c>
      <c r="AO1096" s="90" t="s">
        <v>80</v>
      </c>
      <c r="AP1096" s="82"/>
      <c r="AQ1096" s="87" t="s">
        <v>59</v>
      </c>
      <c r="AR1096" s="87" t="s">
        <v>80</v>
      </c>
      <c r="AS1096" s="82"/>
      <c r="AT1096" s="87">
        <v>6</v>
      </c>
      <c r="AU1096" s="87">
        <v>3</v>
      </c>
      <c r="AV1096" s="87">
        <f t="shared" si="226"/>
        <v>9</v>
      </c>
      <c r="AW1096" s="87" t="str">
        <f>_xlfn.TEXTJOIN(", ",TRUE,$AX1096:$AZ1096)</f>
        <v>Ninguna</v>
      </c>
      <c r="AX1096" s="87" t="s">
        <v>75</v>
      </c>
      <c r="AY1096" s="87"/>
      <c r="AZ1096" s="87"/>
      <c r="BA1096" s="91" t="s">
        <v>4924</v>
      </c>
      <c r="BB1096" s="84"/>
      <c r="BC1096" s="85"/>
      <c r="BD1096" s="85"/>
    </row>
    <row r="1097" spans="1:56" s="86" customFormat="1" ht="40.5" customHeight="1">
      <c r="A1097" s="87">
        <v>1092</v>
      </c>
      <c r="B1097" s="90" t="s">
        <v>661</v>
      </c>
      <c r="C1097" s="88">
        <v>45574</v>
      </c>
      <c r="D1097" s="89">
        <v>0.33333333333333331</v>
      </c>
      <c r="E1097" s="87" t="s">
        <v>93</v>
      </c>
      <c r="F1097" s="87" t="s">
        <v>321</v>
      </c>
      <c r="G1097" s="87" t="s">
        <v>62</v>
      </c>
      <c r="H1097" s="90" t="s">
        <v>4925</v>
      </c>
      <c r="I1097" s="90" t="s">
        <v>118</v>
      </c>
      <c r="J1097" s="87" t="s">
        <v>70</v>
      </c>
      <c r="K1097" s="87" t="s">
        <v>1810</v>
      </c>
      <c r="L1097" s="90" t="s">
        <v>4926</v>
      </c>
      <c r="M1097" s="91" t="s">
        <v>1976</v>
      </c>
      <c r="N1097" s="90" t="s">
        <v>1335</v>
      </c>
      <c r="O1097" s="90" t="str">
        <f t="shared" si="133"/>
        <v>Teusaquillo</v>
      </c>
      <c r="P1097" s="87" t="s">
        <v>665</v>
      </c>
      <c r="Q1097" s="87"/>
      <c r="R1097" s="87"/>
      <c r="S1097" s="87"/>
      <c r="T1097" s="87"/>
      <c r="U1097" s="87"/>
      <c r="V1097" s="90" t="str">
        <f t="shared" si="137"/>
        <v>Centro Ampliado</v>
      </c>
      <c r="W1097" s="87" t="s">
        <v>415</v>
      </c>
      <c r="X1097" s="87"/>
      <c r="Y1097" s="87"/>
      <c r="Z1097" s="87"/>
      <c r="AA1097" s="87"/>
      <c r="AB1097" s="87"/>
      <c r="AC1097" s="90" t="str">
        <f t="shared" si="138"/>
        <v>Teusaquillo</v>
      </c>
      <c r="AD1097" s="87" t="s">
        <v>665</v>
      </c>
      <c r="AE1097" s="87"/>
      <c r="AF1097" s="87"/>
      <c r="AG1097" s="87"/>
      <c r="AH1097" s="87"/>
      <c r="AI1097" s="87"/>
      <c r="AJ1097" s="87"/>
      <c r="AK1097" s="87"/>
      <c r="AL1097" s="87"/>
      <c r="AM1097" s="87"/>
      <c r="AN1097" s="90" t="s">
        <v>80</v>
      </c>
      <c r="AO1097" s="90" t="s">
        <v>4927</v>
      </c>
      <c r="AP1097" s="82"/>
      <c r="AQ1097" s="87" t="s">
        <v>59</v>
      </c>
      <c r="AR1097" s="87" t="s">
        <v>80</v>
      </c>
      <c r="AS1097" s="82"/>
      <c r="AT1097" s="87">
        <v>15</v>
      </c>
      <c r="AU1097" s="87">
        <v>1</v>
      </c>
      <c r="AV1097" s="87">
        <f t="shared" ref="AV1097:AV1099" si="253">AT1097+AU1097</f>
        <v>16</v>
      </c>
      <c r="AW1097" s="87" t="str">
        <f t="shared" ref="AW1097:AW1100" si="254">_xlfn.TEXTJOIN(", ",TRUE,$AX1097:$AZ1097)</f>
        <v>Ninguna</v>
      </c>
      <c r="AX1097" s="87" t="s">
        <v>75</v>
      </c>
      <c r="AY1097" s="87"/>
      <c r="AZ1097" s="87"/>
      <c r="BA1097" s="91" t="s">
        <v>4928</v>
      </c>
      <c r="BB1097" s="84"/>
      <c r="BC1097" s="85"/>
      <c r="BD1097" s="85"/>
    </row>
    <row r="1098" spans="1:56" s="86" customFormat="1" ht="40.5" customHeight="1">
      <c r="A1098" s="78">
        <v>1093</v>
      </c>
      <c r="B1098" s="90" t="s">
        <v>668</v>
      </c>
      <c r="C1098" s="88">
        <v>45574</v>
      </c>
      <c r="D1098" s="89">
        <v>0.375</v>
      </c>
      <c r="E1098" s="87" t="s">
        <v>93</v>
      </c>
      <c r="F1098" s="87" t="s">
        <v>321</v>
      </c>
      <c r="G1098" s="87" t="s">
        <v>62</v>
      </c>
      <c r="H1098" s="90" t="s">
        <v>4750</v>
      </c>
      <c r="I1098" s="90" t="s">
        <v>118</v>
      </c>
      <c r="J1098" s="87" t="s">
        <v>70</v>
      </c>
      <c r="K1098" s="87" t="s">
        <v>1810</v>
      </c>
      <c r="L1098" s="90" t="s">
        <v>4929</v>
      </c>
      <c r="M1098" s="91" t="s">
        <v>3475</v>
      </c>
      <c r="N1098" s="90" t="s">
        <v>1317</v>
      </c>
      <c r="O1098" s="90" t="str">
        <f t="shared" si="133"/>
        <v>Usme</v>
      </c>
      <c r="P1098" s="87" t="s">
        <v>670</v>
      </c>
      <c r="Q1098" s="87"/>
      <c r="R1098" s="87"/>
      <c r="S1098" s="87"/>
      <c r="T1098" s="87"/>
      <c r="U1098" s="87"/>
      <c r="V1098" s="90" t="str">
        <f t="shared" si="137"/>
        <v>Suroriente</v>
      </c>
      <c r="W1098" s="87" t="s">
        <v>108</v>
      </c>
      <c r="X1098" s="87"/>
      <c r="Y1098" s="87"/>
      <c r="Z1098" s="87"/>
      <c r="AA1098" s="87"/>
      <c r="AB1098" s="87"/>
      <c r="AC1098" s="90" t="str">
        <f t="shared" si="138"/>
        <v>Usme Entrenubes</v>
      </c>
      <c r="AD1098" s="87" t="s">
        <v>671</v>
      </c>
      <c r="AE1098" s="87"/>
      <c r="AF1098" s="87"/>
      <c r="AG1098" s="87"/>
      <c r="AH1098" s="87"/>
      <c r="AI1098" s="87"/>
      <c r="AJ1098" s="87"/>
      <c r="AK1098" s="87"/>
      <c r="AL1098" s="87"/>
      <c r="AM1098" s="87"/>
      <c r="AN1098" s="90" t="s">
        <v>80</v>
      </c>
      <c r="AO1098" s="90" t="s">
        <v>4930</v>
      </c>
      <c r="AP1098" s="82"/>
      <c r="AQ1098" s="87" t="s">
        <v>59</v>
      </c>
      <c r="AR1098" s="87" t="s">
        <v>80</v>
      </c>
      <c r="AS1098" s="82"/>
      <c r="AT1098" s="87">
        <v>31</v>
      </c>
      <c r="AU1098" s="87">
        <v>1</v>
      </c>
      <c r="AV1098" s="87">
        <f t="shared" si="253"/>
        <v>32</v>
      </c>
      <c r="AW1098" s="87" t="str">
        <f t="shared" si="254"/>
        <v>Ninguna</v>
      </c>
      <c r="AX1098" s="87" t="s">
        <v>75</v>
      </c>
      <c r="AY1098" s="87"/>
      <c r="AZ1098" s="87"/>
      <c r="BA1098" s="91" t="s">
        <v>4931</v>
      </c>
      <c r="BB1098" s="84"/>
      <c r="BC1098" s="85"/>
      <c r="BD1098" s="85"/>
    </row>
    <row r="1099" spans="1:56" s="86" customFormat="1" ht="40.5" customHeight="1">
      <c r="A1099" s="87">
        <v>1094</v>
      </c>
      <c r="B1099" s="90" t="s">
        <v>3221</v>
      </c>
      <c r="C1099" s="88">
        <v>45574</v>
      </c>
      <c r="D1099" s="89">
        <v>0.375</v>
      </c>
      <c r="E1099" s="87" t="s">
        <v>93</v>
      </c>
      <c r="F1099" s="87" t="s">
        <v>102</v>
      </c>
      <c r="G1099" s="87" t="s">
        <v>95</v>
      </c>
      <c r="H1099" s="90" t="s">
        <v>4932</v>
      </c>
      <c r="I1099" s="90" t="s">
        <v>118</v>
      </c>
      <c r="J1099" s="87" t="s">
        <v>119</v>
      </c>
      <c r="K1099" s="87" t="s">
        <v>129</v>
      </c>
      <c r="L1099" s="90" t="s">
        <v>2893</v>
      </c>
      <c r="M1099" s="91">
        <v>3202547806</v>
      </c>
      <c r="N1099" s="90" t="s">
        <v>4934</v>
      </c>
      <c r="O1099" s="90" t="str">
        <f>_xlfn.TEXTJOIN(", ",TRUE,$P1099:$T1099)</f>
        <v>Distrital</v>
      </c>
      <c r="P1099" s="87" t="s">
        <v>73</v>
      </c>
      <c r="Q1099" s="87"/>
      <c r="R1099" s="87"/>
      <c r="S1099" s="87"/>
      <c r="T1099" s="87"/>
      <c r="U1099" s="87"/>
      <c r="V1099" s="90" t="str">
        <f>_xlfn.TEXTJOIN(", ",TRUE,$W1099:$AB1099)</f>
        <v>Distrital</v>
      </c>
      <c r="W1099" s="87" t="s">
        <v>73</v>
      </c>
      <c r="X1099" s="87"/>
      <c r="Y1099" s="87"/>
      <c r="Z1099" s="87"/>
      <c r="AA1099" s="87"/>
      <c r="AB1099" s="87"/>
      <c r="AC1099" s="90" t="str">
        <f>_xlfn.TEXTJOIN(", ",TRUE,$AD1099:$AM1099)</f>
        <v>Distrital</v>
      </c>
      <c r="AD1099" s="87" t="s">
        <v>73</v>
      </c>
      <c r="AE1099" s="87"/>
      <c r="AF1099" s="87"/>
      <c r="AG1099" s="87"/>
      <c r="AH1099" s="87"/>
      <c r="AI1099" s="87"/>
      <c r="AJ1099" s="87"/>
      <c r="AK1099" s="87"/>
      <c r="AL1099" s="87"/>
      <c r="AM1099" s="87"/>
      <c r="AN1099" s="90" t="s">
        <v>80</v>
      </c>
      <c r="AO1099" s="102" t="s">
        <v>2638</v>
      </c>
      <c r="AP1099" s="82"/>
      <c r="AQ1099" s="87" t="s">
        <v>59</v>
      </c>
      <c r="AR1099" s="87" t="s">
        <v>80</v>
      </c>
      <c r="AS1099" s="82"/>
      <c r="AT1099" s="87">
        <v>1</v>
      </c>
      <c r="AU1099" s="87">
        <v>6</v>
      </c>
      <c r="AV1099" s="87">
        <f t="shared" si="253"/>
        <v>7</v>
      </c>
      <c r="AW1099" s="87" t="str">
        <f t="shared" si="254"/>
        <v>Ninguna</v>
      </c>
      <c r="AX1099" s="87" t="s">
        <v>75</v>
      </c>
      <c r="AY1099" s="87"/>
      <c r="AZ1099" s="87"/>
      <c r="BA1099" s="91" t="s">
        <v>4935</v>
      </c>
      <c r="BB1099" s="84"/>
      <c r="BC1099" s="85"/>
      <c r="BD1099" s="85"/>
    </row>
    <row r="1100" spans="1:56" s="86" customFormat="1" ht="40.5" customHeight="1">
      <c r="A1100" s="78">
        <v>1095</v>
      </c>
      <c r="B1100" s="90" t="s">
        <v>2469</v>
      </c>
      <c r="C1100" s="88">
        <v>45574</v>
      </c>
      <c r="D1100" s="89">
        <v>0.375</v>
      </c>
      <c r="E1100" s="87" t="s">
        <v>58</v>
      </c>
      <c r="F1100" s="87" t="s">
        <v>135</v>
      </c>
      <c r="G1100" s="87" t="s">
        <v>95</v>
      </c>
      <c r="H1100" s="90" t="s">
        <v>4936</v>
      </c>
      <c r="I1100" s="90" t="s">
        <v>64</v>
      </c>
      <c r="J1100" s="87" t="s">
        <v>173</v>
      </c>
      <c r="K1100" s="87"/>
      <c r="L1100" s="90" t="s">
        <v>72</v>
      </c>
      <c r="M1100" s="91" t="s">
        <v>72</v>
      </c>
      <c r="N1100" s="90" t="s">
        <v>72</v>
      </c>
      <c r="O1100" s="90" t="str">
        <f t="shared" si="133"/>
        <v>Distrital</v>
      </c>
      <c r="P1100" s="87" t="s">
        <v>73</v>
      </c>
      <c r="Q1100" s="87"/>
      <c r="R1100" s="87"/>
      <c r="S1100" s="87"/>
      <c r="T1100" s="87"/>
      <c r="U1100" s="87"/>
      <c r="V1100" s="90" t="str">
        <f t="shared" ref="V1100" si="255">_xlfn.TEXTJOIN(", ",TRUE,$W1100:$AB1100)</f>
        <v>Distrital</v>
      </c>
      <c r="W1100" s="87" t="s">
        <v>73</v>
      </c>
      <c r="X1100" s="87"/>
      <c r="Y1100" s="87"/>
      <c r="Z1100" s="87"/>
      <c r="AA1100" s="87"/>
      <c r="AB1100" s="87"/>
      <c r="AC1100" s="90" t="str">
        <f t="shared" ref="AC1100" si="256">_xlfn.TEXTJOIN(", ",TRUE,$AD1100:$AM1100)</f>
        <v>Distrital</v>
      </c>
      <c r="AD1100" s="87" t="s">
        <v>73</v>
      </c>
      <c r="AE1100" s="87"/>
      <c r="AF1100" s="87"/>
      <c r="AG1100" s="87"/>
      <c r="AH1100" s="87"/>
      <c r="AI1100" s="87"/>
      <c r="AJ1100" s="87"/>
      <c r="AK1100" s="87"/>
      <c r="AL1100" s="87"/>
      <c r="AM1100" s="87"/>
      <c r="AN1100" s="90" t="s">
        <v>160</v>
      </c>
      <c r="AO1100" s="102" t="s">
        <v>2638</v>
      </c>
      <c r="AP1100" s="82"/>
      <c r="AQ1100" s="87" t="s">
        <v>59</v>
      </c>
      <c r="AR1100" s="87" t="s">
        <v>80</v>
      </c>
      <c r="AS1100" s="82"/>
      <c r="AT1100" s="87">
        <v>5</v>
      </c>
      <c r="AU1100" s="87">
        <v>12</v>
      </c>
      <c r="AV1100" s="87">
        <f t="shared" ref="AV1100" si="257">AT1100+AU1100</f>
        <v>17</v>
      </c>
      <c r="AW1100" s="87" t="str">
        <f t="shared" si="254"/>
        <v>Ninguna</v>
      </c>
      <c r="AX1100" s="87" t="s">
        <v>75</v>
      </c>
      <c r="AY1100" s="87"/>
      <c r="AZ1100" s="87"/>
      <c r="BA1100" s="91" t="s">
        <v>4937</v>
      </c>
      <c r="BB1100" s="84"/>
      <c r="BC1100" s="85"/>
      <c r="BD1100" s="85"/>
    </row>
    <row r="1101" spans="1:56" s="86" customFormat="1" ht="40.5" customHeight="1">
      <c r="A1101" s="87">
        <v>1096</v>
      </c>
      <c r="B1101" s="90" t="s">
        <v>655</v>
      </c>
      <c r="C1101" s="88">
        <v>45574</v>
      </c>
      <c r="D1101" s="89">
        <v>0.4375</v>
      </c>
      <c r="E1101" s="87" t="s">
        <v>93</v>
      </c>
      <c r="F1101" s="87" t="s">
        <v>321</v>
      </c>
      <c r="G1101" s="87" t="s">
        <v>62</v>
      </c>
      <c r="H1101" s="90" t="s">
        <v>656</v>
      </c>
      <c r="I1101" s="90" t="s">
        <v>118</v>
      </c>
      <c r="J1101" s="87" t="s">
        <v>70</v>
      </c>
      <c r="K1101" s="87" t="s">
        <v>1810</v>
      </c>
      <c r="L1101" s="90" t="s">
        <v>4482</v>
      </c>
      <c r="M1101" s="91">
        <v>3118662290</v>
      </c>
      <c r="N1101" s="90" t="s">
        <v>4938</v>
      </c>
      <c r="O1101" s="90" t="str">
        <f t="shared" si="133"/>
        <v>Antonio Nariño</v>
      </c>
      <c r="P1101" s="87" t="s">
        <v>413</v>
      </c>
      <c r="Q1101" s="87"/>
      <c r="R1101" s="87"/>
      <c r="S1101" s="87"/>
      <c r="T1101" s="87"/>
      <c r="U1101" s="87"/>
      <c r="V1101" s="90" t="str">
        <f t="shared" si="137"/>
        <v>Centro Ampliado</v>
      </c>
      <c r="W1101" s="87" t="s">
        <v>415</v>
      </c>
      <c r="X1101" s="87"/>
      <c r="Y1101" s="87"/>
      <c r="Z1101" s="87"/>
      <c r="AA1101" s="87"/>
      <c r="AB1101" s="87"/>
      <c r="AC1101" s="90" t="str">
        <f t="shared" si="138"/>
        <v>Restrepo</v>
      </c>
      <c r="AD1101" s="87" t="s">
        <v>416</v>
      </c>
      <c r="AE1101" s="87"/>
      <c r="AF1101" s="87"/>
      <c r="AG1101" s="87"/>
      <c r="AH1101" s="87"/>
      <c r="AI1101" s="87"/>
      <c r="AJ1101" s="87"/>
      <c r="AK1101" s="87"/>
      <c r="AL1101" s="87"/>
      <c r="AM1101" s="87"/>
      <c r="AN1101" s="90" t="s">
        <v>416</v>
      </c>
      <c r="AO1101" s="90" t="s">
        <v>4939</v>
      </c>
      <c r="AP1101" s="82"/>
      <c r="AQ1101" s="87" t="s">
        <v>59</v>
      </c>
      <c r="AR1101" s="87" t="s">
        <v>80</v>
      </c>
      <c r="AS1101" s="82"/>
      <c r="AT1101" s="87">
        <v>19</v>
      </c>
      <c r="AU1101" s="87">
        <v>1</v>
      </c>
      <c r="AV1101" s="87">
        <f t="shared" ref="AV1101:AV1105" si="258">AT1101+AU1101</f>
        <v>20</v>
      </c>
      <c r="AW1101" s="87" t="str">
        <f t="shared" si="252"/>
        <v>Ninguna</v>
      </c>
      <c r="AX1101" s="87" t="s">
        <v>75</v>
      </c>
      <c r="AY1101" s="87"/>
      <c r="AZ1101" s="87"/>
      <c r="BA1101" s="91" t="s">
        <v>4940</v>
      </c>
      <c r="BB1101" s="84"/>
      <c r="BC1101" s="85"/>
      <c r="BD1101" s="85"/>
    </row>
    <row r="1102" spans="1:56" s="86" customFormat="1" ht="40.5" customHeight="1">
      <c r="A1102" s="78">
        <v>1097</v>
      </c>
      <c r="B1102" s="90" t="s">
        <v>330</v>
      </c>
      <c r="C1102" s="88">
        <v>45574</v>
      </c>
      <c r="D1102" s="89">
        <v>0.58333333333333337</v>
      </c>
      <c r="E1102" s="87" t="s">
        <v>93</v>
      </c>
      <c r="F1102" s="87" t="s">
        <v>321</v>
      </c>
      <c r="G1102" s="87" t="s">
        <v>62</v>
      </c>
      <c r="H1102" s="90" t="s">
        <v>1873</v>
      </c>
      <c r="I1102" s="90" t="s">
        <v>118</v>
      </c>
      <c r="J1102" s="87" t="s">
        <v>70</v>
      </c>
      <c r="K1102" s="87" t="s">
        <v>1810</v>
      </c>
      <c r="L1102" s="90" t="s">
        <v>4941</v>
      </c>
      <c r="M1102" s="91">
        <v>3003358888</v>
      </c>
      <c r="N1102" s="90" t="s">
        <v>4942</v>
      </c>
      <c r="O1102" s="90" t="str">
        <f t="shared" si="133"/>
        <v>Ciudad Bolívar</v>
      </c>
      <c r="P1102" s="87" t="s">
        <v>107</v>
      </c>
      <c r="Q1102" s="87"/>
      <c r="R1102" s="87"/>
      <c r="S1102" s="87"/>
      <c r="T1102" s="87"/>
      <c r="U1102" s="87"/>
      <c r="V1102" s="90" t="str">
        <f t="shared" si="137"/>
        <v>Suroriente</v>
      </c>
      <c r="W1102" s="87" t="s">
        <v>108</v>
      </c>
      <c r="X1102" s="87"/>
      <c r="Y1102" s="87"/>
      <c r="Z1102" s="87"/>
      <c r="AA1102" s="87"/>
      <c r="AB1102" s="87"/>
      <c r="AC1102" s="90" t="str">
        <f t="shared" si="138"/>
        <v>Rafael Uribe, Arborizadora, Lucero</v>
      </c>
      <c r="AD1102" s="87" t="s">
        <v>467</v>
      </c>
      <c r="AE1102" s="87" t="s">
        <v>110</v>
      </c>
      <c r="AF1102" s="87" t="s">
        <v>111</v>
      </c>
      <c r="AG1102" s="87"/>
      <c r="AH1102" s="87"/>
      <c r="AI1102" s="87"/>
      <c r="AJ1102" s="87"/>
      <c r="AK1102" s="87"/>
      <c r="AL1102" s="87"/>
      <c r="AM1102" s="87"/>
      <c r="AN1102" s="90" t="s">
        <v>80</v>
      </c>
      <c r="AO1102" s="90" t="s">
        <v>4943</v>
      </c>
      <c r="AP1102" s="82"/>
      <c r="AQ1102" s="87" t="s">
        <v>59</v>
      </c>
      <c r="AR1102" s="87" t="s">
        <v>80</v>
      </c>
      <c r="AS1102" s="82"/>
      <c r="AT1102" s="87">
        <v>19</v>
      </c>
      <c r="AU1102" s="87">
        <v>1</v>
      </c>
      <c r="AV1102" s="87">
        <f t="shared" si="258"/>
        <v>20</v>
      </c>
      <c r="AW1102" s="87" t="str">
        <f t="shared" si="252"/>
        <v>Ninguna</v>
      </c>
      <c r="AX1102" s="87" t="s">
        <v>75</v>
      </c>
      <c r="AY1102" s="87"/>
      <c r="AZ1102" s="87"/>
      <c r="BA1102" s="91" t="s">
        <v>4944</v>
      </c>
      <c r="BB1102" s="84"/>
      <c r="BC1102" s="85"/>
      <c r="BD1102" s="85"/>
    </row>
    <row r="1103" spans="1:56" s="86" customFormat="1" ht="40.5" customHeight="1">
      <c r="A1103" s="87">
        <v>1098</v>
      </c>
      <c r="B1103" s="90" t="s">
        <v>4945</v>
      </c>
      <c r="C1103" s="88">
        <v>45574</v>
      </c>
      <c r="D1103" s="89">
        <v>0.625</v>
      </c>
      <c r="E1103" s="87" t="s">
        <v>58</v>
      </c>
      <c r="F1103" s="87" t="s">
        <v>61</v>
      </c>
      <c r="G1103" s="87" t="s">
        <v>95</v>
      </c>
      <c r="H1103" s="90" t="s">
        <v>4946</v>
      </c>
      <c r="I1103" s="90" t="s">
        <v>118</v>
      </c>
      <c r="J1103" s="87" t="s">
        <v>70</v>
      </c>
      <c r="K1103" s="87" t="s">
        <v>71</v>
      </c>
      <c r="L1103" s="90" t="s">
        <v>72</v>
      </c>
      <c r="M1103" s="91" t="s">
        <v>72</v>
      </c>
      <c r="N1103" s="90" t="s">
        <v>72</v>
      </c>
      <c r="O1103" s="90" t="str">
        <f t="shared" si="133"/>
        <v>Distrital</v>
      </c>
      <c r="P1103" s="87" t="s">
        <v>73</v>
      </c>
      <c r="Q1103" s="87"/>
      <c r="R1103" s="87"/>
      <c r="S1103" s="87"/>
      <c r="T1103" s="87"/>
      <c r="U1103" s="87"/>
      <c r="V1103" s="90" t="str">
        <f t="shared" si="137"/>
        <v>Distrital</v>
      </c>
      <c r="W1103" s="87" t="s">
        <v>73</v>
      </c>
      <c r="X1103" s="87"/>
      <c r="Y1103" s="87"/>
      <c r="Z1103" s="87"/>
      <c r="AA1103" s="87"/>
      <c r="AB1103" s="87"/>
      <c r="AC1103" s="90" t="str">
        <f t="shared" si="138"/>
        <v>Distrital</v>
      </c>
      <c r="AD1103" s="87" t="s">
        <v>73</v>
      </c>
      <c r="AE1103" s="87"/>
      <c r="AF1103" s="87"/>
      <c r="AG1103" s="87"/>
      <c r="AH1103" s="87"/>
      <c r="AI1103" s="87"/>
      <c r="AJ1103" s="87"/>
      <c r="AK1103" s="87"/>
      <c r="AL1103" s="87"/>
      <c r="AM1103" s="87"/>
      <c r="AN1103" s="90" t="s">
        <v>80</v>
      </c>
      <c r="AO1103" s="102" t="s">
        <v>2638</v>
      </c>
      <c r="AP1103" s="82"/>
      <c r="AQ1103" s="87" t="s">
        <v>59</v>
      </c>
      <c r="AR1103" s="87" t="s">
        <v>80</v>
      </c>
      <c r="AS1103" s="82"/>
      <c r="AT1103" s="87">
        <v>9</v>
      </c>
      <c r="AU1103" s="87">
        <v>3</v>
      </c>
      <c r="AV1103" s="87">
        <f t="shared" si="258"/>
        <v>12</v>
      </c>
      <c r="AW1103" s="87" t="str">
        <f t="shared" si="252"/>
        <v>Horarios Acordes</v>
      </c>
      <c r="AX1103" s="87" t="s">
        <v>213</v>
      </c>
      <c r="AY1103" s="87"/>
      <c r="AZ1103" s="87"/>
      <c r="BA1103" s="91" t="s">
        <v>4947</v>
      </c>
      <c r="BB1103" s="84"/>
      <c r="BC1103" s="85"/>
      <c r="BD1103" s="85"/>
    </row>
    <row r="1104" spans="1:56" s="86" customFormat="1" ht="40.5" customHeight="1">
      <c r="A1104" s="78">
        <v>1099</v>
      </c>
      <c r="B1104" s="90" t="s">
        <v>4948</v>
      </c>
      <c r="C1104" s="88">
        <v>45574</v>
      </c>
      <c r="D1104" s="89">
        <v>0.625</v>
      </c>
      <c r="E1104" s="87" t="s">
        <v>93</v>
      </c>
      <c r="F1104" s="87" t="s">
        <v>102</v>
      </c>
      <c r="G1104" s="87" t="s">
        <v>95</v>
      </c>
      <c r="H1104" s="90" t="s">
        <v>4949</v>
      </c>
      <c r="I1104" s="90" t="s">
        <v>118</v>
      </c>
      <c r="J1104" s="87" t="s">
        <v>119</v>
      </c>
      <c r="K1104" s="87" t="s">
        <v>129</v>
      </c>
      <c r="L1104" s="90" t="s">
        <v>4704</v>
      </c>
      <c r="M1104" s="91" t="s">
        <v>3950</v>
      </c>
      <c r="N1104" s="90" t="s">
        <v>736</v>
      </c>
      <c r="O1104" s="90" t="str">
        <f t="shared" si="133"/>
        <v>Distrital</v>
      </c>
      <c r="P1104" s="87" t="s">
        <v>73</v>
      </c>
      <c r="Q1104" s="87"/>
      <c r="R1104" s="87"/>
      <c r="S1104" s="87"/>
      <c r="T1104" s="87"/>
      <c r="U1104" s="87"/>
      <c r="V1104" s="90" t="str">
        <f t="shared" si="137"/>
        <v>Distrital</v>
      </c>
      <c r="W1104" s="87" t="s">
        <v>73</v>
      </c>
      <c r="X1104" s="87"/>
      <c r="Y1104" s="87"/>
      <c r="Z1104" s="87"/>
      <c r="AA1104" s="87"/>
      <c r="AB1104" s="87"/>
      <c r="AC1104" s="90" t="str">
        <f t="shared" si="138"/>
        <v>Distrital</v>
      </c>
      <c r="AD1104" s="87" t="s">
        <v>73</v>
      </c>
      <c r="AE1104" s="87"/>
      <c r="AF1104" s="87"/>
      <c r="AG1104" s="87"/>
      <c r="AH1104" s="87"/>
      <c r="AI1104" s="87"/>
      <c r="AJ1104" s="87"/>
      <c r="AK1104" s="87"/>
      <c r="AL1104" s="87"/>
      <c r="AM1104" s="87"/>
      <c r="AN1104" s="90" t="s">
        <v>80</v>
      </c>
      <c r="AO1104" s="102" t="s">
        <v>2667</v>
      </c>
      <c r="AP1104" s="82"/>
      <c r="AQ1104" s="87" t="s">
        <v>59</v>
      </c>
      <c r="AR1104" s="87" t="s">
        <v>80</v>
      </c>
      <c r="AS1104" s="82"/>
      <c r="AT1104" s="87">
        <v>20</v>
      </c>
      <c r="AU1104" s="87">
        <v>2</v>
      </c>
      <c r="AV1104" s="87">
        <f t="shared" si="258"/>
        <v>22</v>
      </c>
      <c r="AW1104" s="87" t="str">
        <f t="shared" si="252"/>
        <v>Ninguna</v>
      </c>
      <c r="AX1104" s="87" t="s">
        <v>75</v>
      </c>
      <c r="AY1104" s="87"/>
      <c r="AZ1104" s="87"/>
      <c r="BA1104" s="91" t="s">
        <v>4950</v>
      </c>
      <c r="BB1104" s="84"/>
      <c r="BC1104" s="85"/>
      <c r="BD1104" s="85"/>
    </row>
    <row r="1105" spans="1:56" s="86" customFormat="1" ht="40.5" customHeight="1">
      <c r="A1105" s="87">
        <v>1100</v>
      </c>
      <c r="B1105" s="90" t="s">
        <v>4951</v>
      </c>
      <c r="C1105" s="88">
        <v>45575</v>
      </c>
      <c r="D1105" s="89">
        <v>0.33333333333333331</v>
      </c>
      <c r="E1105" s="87" t="s">
        <v>58</v>
      </c>
      <c r="F1105" s="87" t="s">
        <v>116</v>
      </c>
      <c r="G1105" s="87" t="s">
        <v>62</v>
      </c>
      <c r="H1105" s="90" t="s">
        <v>4952</v>
      </c>
      <c r="I1105" s="90" t="s">
        <v>118</v>
      </c>
      <c r="J1105" s="87" t="s">
        <v>119</v>
      </c>
      <c r="K1105" s="87"/>
      <c r="L1105" s="90" t="s">
        <v>4393</v>
      </c>
      <c r="M1105" s="91" t="s">
        <v>4205</v>
      </c>
      <c r="N1105" s="90" t="s">
        <v>4394</v>
      </c>
      <c r="O1105" s="90" t="str">
        <f t="shared" si="133"/>
        <v>No Especifica</v>
      </c>
      <c r="P1105" s="87" t="s">
        <v>3483</v>
      </c>
      <c r="Q1105" s="87"/>
      <c r="R1105" s="87"/>
      <c r="S1105" s="87"/>
      <c r="T1105" s="87"/>
      <c r="U1105" s="87"/>
      <c r="V1105" s="90" t="str">
        <f t="shared" si="137"/>
        <v>Centro Ampliado</v>
      </c>
      <c r="W1105" s="87" t="s">
        <v>415</v>
      </c>
      <c r="X1105" s="87"/>
      <c r="Y1105" s="87"/>
      <c r="Z1105" s="87"/>
      <c r="AA1105" s="87"/>
      <c r="AB1105" s="87"/>
      <c r="AC1105" s="90" t="str">
        <f t="shared" si="138"/>
        <v>Centro Histórico</v>
      </c>
      <c r="AD1105" s="87" t="s">
        <v>488</v>
      </c>
      <c r="AE1105" s="87"/>
      <c r="AF1105" s="87"/>
      <c r="AG1105" s="87"/>
      <c r="AH1105" s="87"/>
      <c r="AI1105" s="87"/>
      <c r="AJ1105" s="87"/>
      <c r="AK1105" s="87"/>
      <c r="AL1105" s="87"/>
      <c r="AM1105" s="87"/>
      <c r="AN1105" s="90" t="s">
        <v>80</v>
      </c>
      <c r="AO1105" s="90" t="s">
        <v>4953</v>
      </c>
      <c r="AP1105" s="82"/>
      <c r="AQ1105" s="87" t="s">
        <v>59</v>
      </c>
      <c r="AR1105" s="87" t="s">
        <v>80</v>
      </c>
      <c r="AS1105" s="82"/>
      <c r="AT1105" s="87">
        <v>16</v>
      </c>
      <c r="AU1105" s="87">
        <v>6</v>
      </c>
      <c r="AV1105" s="87">
        <f t="shared" si="258"/>
        <v>22</v>
      </c>
      <c r="AW1105" s="87" t="str">
        <f t="shared" si="252"/>
        <v>Ninguna</v>
      </c>
      <c r="AX1105" s="87" t="s">
        <v>75</v>
      </c>
      <c r="AY1105" s="87"/>
      <c r="AZ1105" s="87"/>
      <c r="BA1105" s="91" t="s">
        <v>4954</v>
      </c>
      <c r="BB1105" s="84"/>
      <c r="BC1105" s="85"/>
      <c r="BD1105" s="85"/>
    </row>
    <row r="1106" spans="1:56" s="86" customFormat="1" ht="40.5" customHeight="1">
      <c r="A1106" s="78">
        <v>1101</v>
      </c>
      <c r="B1106" s="90" t="s">
        <v>4955</v>
      </c>
      <c r="C1106" s="88">
        <v>45575</v>
      </c>
      <c r="D1106" s="89">
        <v>0.33333333333333331</v>
      </c>
      <c r="E1106" s="87" t="s">
        <v>58</v>
      </c>
      <c r="F1106" s="87" t="s">
        <v>135</v>
      </c>
      <c r="G1106" s="87" t="s">
        <v>62</v>
      </c>
      <c r="H1106" s="90" t="s">
        <v>4956</v>
      </c>
      <c r="I1106" s="90" t="s">
        <v>118</v>
      </c>
      <c r="J1106" s="87" t="s">
        <v>70</v>
      </c>
      <c r="K1106" s="87" t="s">
        <v>71</v>
      </c>
      <c r="L1106" s="90" t="s">
        <v>4957</v>
      </c>
      <c r="M1106" s="91" t="s">
        <v>4958</v>
      </c>
      <c r="N1106" s="90" t="s">
        <v>3042</v>
      </c>
      <c r="O1106" s="90" t="str">
        <f>_xlfn.TEXTJOIN(", ",TRUE,$P1106:$T1106)</f>
        <v>Distrital</v>
      </c>
      <c r="P1106" s="87" t="s">
        <v>73</v>
      </c>
      <c r="Q1106" s="87"/>
      <c r="R1106" s="87"/>
      <c r="S1106" s="87"/>
      <c r="T1106" s="87"/>
      <c r="U1106" s="87"/>
      <c r="V1106" s="90" t="str">
        <f>_xlfn.TEXTJOIN(", ",TRUE,$W1106:$AB1106)</f>
        <v>Distrital</v>
      </c>
      <c r="W1106" s="87" t="s">
        <v>73</v>
      </c>
      <c r="X1106" s="87"/>
      <c r="Y1106" s="87"/>
      <c r="Z1106" s="87"/>
      <c r="AA1106" s="87"/>
      <c r="AB1106" s="87"/>
      <c r="AC1106" s="90" t="str">
        <f>_xlfn.TEXTJOIN(", ",TRUE,$AD1106:$AM1106)</f>
        <v>Distrital</v>
      </c>
      <c r="AD1106" s="87" t="s">
        <v>73</v>
      </c>
      <c r="AE1106" s="87"/>
      <c r="AF1106" s="87"/>
      <c r="AG1106" s="87"/>
      <c r="AH1106" s="87"/>
      <c r="AI1106" s="87"/>
      <c r="AJ1106" s="87"/>
      <c r="AK1106" s="87"/>
      <c r="AL1106" s="87"/>
      <c r="AM1106" s="87"/>
      <c r="AN1106" s="90" t="s">
        <v>80</v>
      </c>
      <c r="AO1106" s="90" t="s">
        <v>4959</v>
      </c>
      <c r="AP1106" s="82"/>
      <c r="AQ1106" s="87" t="s">
        <v>59</v>
      </c>
      <c r="AR1106" s="87" t="s">
        <v>80</v>
      </c>
      <c r="AS1106" s="82"/>
      <c r="AT1106" s="87">
        <v>0</v>
      </c>
      <c r="AU1106" s="87">
        <v>16</v>
      </c>
      <c r="AV1106" s="87">
        <f>AT1106+AU1106</f>
        <v>16</v>
      </c>
      <c r="AW1106" s="87" t="str">
        <f t="shared" si="252"/>
        <v>Horarios Acordes, Accesibilidad Universal</v>
      </c>
      <c r="AX1106" s="87" t="s">
        <v>213</v>
      </c>
      <c r="AY1106" s="87" t="s">
        <v>246</v>
      </c>
      <c r="AZ1106" s="87"/>
      <c r="BA1106" s="91" t="s">
        <v>4960</v>
      </c>
      <c r="BB1106" s="84"/>
      <c r="BC1106" s="85"/>
      <c r="BD1106" s="85"/>
    </row>
    <row r="1107" spans="1:56" s="86" customFormat="1" ht="40.5" customHeight="1">
      <c r="A1107" s="87">
        <v>1102</v>
      </c>
      <c r="B1107" s="90" t="s">
        <v>699</v>
      </c>
      <c r="C1107" s="88">
        <v>45575</v>
      </c>
      <c r="D1107" s="89">
        <v>0.35416666666666669</v>
      </c>
      <c r="E1107" s="87" t="s">
        <v>93</v>
      </c>
      <c r="F1107" s="87" t="s">
        <v>321</v>
      </c>
      <c r="G1107" s="87" t="s">
        <v>62</v>
      </c>
      <c r="H1107" s="90" t="s">
        <v>700</v>
      </c>
      <c r="I1107" s="90" t="s">
        <v>118</v>
      </c>
      <c r="J1107" s="87" t="s">
        <v>70</v>
      </c>
      <c r="K1107" s="87" t="s">
        <v>1810</v>
      </c>
      <c r="L1107" s="90" t="s">
        <v>1374</v>
      </c>
      <c r="M1107" s="91" t="s">
        <v>4264</v>
      </c>
      <c r="N1107" s="90" t="s">
        <v>703</v>
      </c>
      <c r="O1107" s="90" t="str">
        <f>_xlfn.TEXTJOIN(", ",TRUE,$P1107:$T1107)</f>
        <v>Bosa</v>
      </c>
      <c r="P1107" s="87" t="s">
        <v>472</v>
      </c>
      <c r="Q1107" s="87"/>
      <c r="R1107" s="87"/>
      <c r="S1107" s="87"/>
      <c r="T1107" s="87"/>
      <c r="U1107" s="87"/>
      <c r="V1107" s="90" t="str">
        <f>_xlfn.TEXTJOIN(", ",TRUE,$W1107:$AB1107)</f>
        <v>Suroccidente</v>
      </c>
      <c r="W1107" s="87" t="s">
        <v>474</v>
      </c>
      <c r="X1107" s="87"/>
      <c r="Y1107" s="87"/>
      <c r="Z1107" s="87"/>
      <c r="AA1107" s="87"/>
      <c r="AB1107" s="87"/>
      <c r="AC1107" s="90" t="str">
        <f>_xlfn.TEXTJOIN(", ",TRUE,$AD1107:$AM1107)</f>
        <v>Bosa</v>
      </c>
      <c r="AD1107" s="87" t="s">
        <v>472</v>
      </c>
      <c r="AE1107" s="87"/>
      <c r="AF1107" s="87"/>
      <c r="AG1107" s="87"/>
      <c r="AH1107" s="87"/>
      <c r="AI1107" s="87"/>
      <c r="AJ1107" s="87"/>
      <c r="AK1107" s="87"/>
      <c r="AL1107" s="87"/>
      <c r="AM1107" s="87"/>
      <c r="AN1107" s="90" t="s">
        <v>472</v>
      </c>
      <c r="AO1107" s="90" t="s">
        <v>3426</v>
      </c>
      <c r="AP1107" s="82"/>
      <c r="AQ1107" s="87" t="s">
        <v>59</v>
      </c>
      <c r="AR1107" s="87" t="s">
        <v>80</v>
      </c>
      <c r="AS1107" s="82"/>
      <c r="AT1107" s="87">
        <v>20</v>
      </c>
      <c r="AU1107" s="87">
        <v>1</v>
      </c>
      <c r="AV1107" s="87">
        <f t="shared" si="226"/>
        <v>21</v>
      </c>
      <c r="AW1107" s="87" t="str">
        <f t="shared" si="252"/>
        <v>Ninguna</v>
      </c>
      <c r="AX1107" s="87" t="s">
        <v>75</v>
      </c>
      <c r="AY1107" s="87"/>
      <c r="AZ1107" s="87"/>
      <c r="BA1107" s="91" t="s">
        <v>4961</v>
      </c>
      <c r="BB1107" s="84"/>
      <c r="BC1107" s="85"/>
      <c r="BD1107" s="85"/>
    </row>
    <row r="1108" spans="1:56" s="86" customFormat="1" ht="40.5" customHeight="1">
      <c r="A1108" s="78">
        <v>1103</v>
      </c>
      <c r="B1108" s="90" t="s">
        <v>4962</v>
      </c>
      <c r="C1108" s="88">
        <v>45575</v>
      </c>
      <c r="D1108" s="89">
        <v>0.375</v>
      </c>
      <c r="E1108" s="87" t="s">
        <v>58</v>
      </c>
      <c r="F1108" s="87" t="s">
        <v>149</v>
      </c>
      <c r="G1108" s="87" t="s">
        <v>62</v>
      </c>
      <c r="H1108" s="90" t="s">
        <v>4963</v>
      </c>
      <c r="I1108" s="90" t="s">
        <v>118</v>
      </c>
      <c r="J1108" s="87" t="s">
        <v>70</v>
      </c>
      <c r="K1108" s="87" t="s">
        <v>71</v>
      </c>
      <c r="L1108" s="90" t="s">
        <v>4964</v>
      </c>
      <c r="M1108" s="91" t="s">
        <v>72</v>
      </c>
      <c r="N1108" s="90" t="s">
        <v>4965</v>
      </c>
      <c r="O1108" s="90" t="str">
        <f>_xlfn.TEXTJOIN(", ",TRUE,$P1108:$T1108)</f>
        <v>Usme</v>
      </c>
      <c r="P1108" s="87" t="s">
        <v>670</v>
      </c>
      <c r="Q1108" s="87"/>
      <c r="R1108" s="87"/>
      <c r="S1108" s="87"/>
      <c r="T1108" s="87"/>
      <c r="U1108" s="87"/>
      <c r="V1108" s="90" t="str">
        <f>_xlfn.TEXTJOIN(", ",TRUE,$W1108:$AB1108)</f>
        <v>Ruralidad</v>
      </c>
      <c r="W1108" s="87" t="s">
        <v>109</v>
      </c>
      <c r="X1108" s="87"/>
      <c r="Y1108" s="87"/>
      <c r="Z1108" s="87"/>
      <c r="AA1108" s="87"/>
      <c r="AB1108" s="87"/>
      <c r="AC1108" s="90" t="str">
        <f>_xlfn.TEXTJOIN(", ",TRUE,$AD1108:$AM1108)</f>
        <v>Usme Entrenubes</v>
      </c>
      <c r="AD1108" s="87" t="s">
        <v>671</v>
      </c>
      <c r="AE1108" s="87"/>
      <c r="AF1108" s="87"/>
      <c r="AG1108" s="87"/>
      <c r="AH1108" s="87"/>
      <c r="AI1108" s="87"/>
      <c r="AJ1108" s="87"/>
      <c r="AK1108" s="87"/>
      <c r="AL1108" s="87"/>
      <c r="AM1108" s="87"/>
      <c r="AN1108" s="90" t="s">
        <v>4966</v>
      </c>
      <c r="AO1108" s="90" t="s">
        <v>4967</v>
      </c>
      <c r="AP1108" s="82"/>
      <c r="AQ1108" s="87" t="s">
        <v>59</v>
      </c>
      <c r="AR1108" s="87" t="s">
        <v>80</v>
      </c>
      <c r="AS1108" s="82"/>
      <c r="AT1108" s="87">
        <v>2</v>
      </c>
      <c r="AU1108" s="87">
        <v>2</v>
      </c>
      <c r="AV1108" s="87">
        <f>AT1108+AU1108</f>
        <v>4</v>
      </c>
      <c r="AW1108" s="87" t="str">
        <f t="shared" si="252"/>
        <v>Ninguna</v>
      </c>
      <c r="AX1108" s="87" t="s">
        <v>75</v>
      </c>
      <c r="AY1108" s="87"/>
      <c r="AZ1108" s="87"/>
      <c r="BA1108" s="91" t="s">
        <v>4968</v>
      </c>
      <c r="BB1108" s="84"/>
      <c r="BC1108" s="85"/>
      <c r="BD1108" s="85"/>
    </row>
    <row r="1109" spans="1:56" s="86" customFormat="1" ht="40.5" customHeight="1">
      <c r="A1109" s="87">
        <v>1104</v>
      </c>
      <c r="B1109" s="90" t="s">
        <v>4969</v>
      </c>
      <c r="C1109" s="88">
        <v>45575</v>
      </c>
      <c r="D1109" s="89">
        <v>0.375</v>
      </c>
      <c r="E1109" s="87" t="s">
        <v>58</v>
      </c>
      <c r="F1109" s="87" t="s">
        <v>61</v>
      </c>
      <c r="G1109" s="87" t="s">
        <v>95</v>
      </c>
      <c r="H1109" s="90" t="s">
        <v>4098</v>
      </c>
      <c r="I1109" s="90" t="s">
        <v>118</v>
      </c>
      <c r="J1109" s="87" t="s">
        <v>70</v>
      </c>
      <c r="K1109" s="87" t="s">
        <v>71</v>
      </c>
      <c r="L1109" s="90" t="s">
        <v>4970</v>
      </c>
      <c r="M1109" s="91" t="s">
        <v>4971</v>
      </c>
      <c r="N1109" s="90" t="s">
        <v>4972</v>
      </c>
      <c r="O1109" s="90" t="str">
        <f t="shared" si="133"/>
        <v>Distrital</v>
      </c>
      <c r="P1109" s="87" t="s">
        <v>73</v>
      </c>
      <c r="Q1109" s="87"/>
      <c r="R1109" s="87"/>
      <c r="S1109" s="87"/>
      <c r="T1109" s="87"/>
      <c r="U1109" s="87"/>
      <c r="V1109" s="90" t="str">
        <f t="shared" si="137"/>
        <v>Distrital</v>
      </c>
      <c r="W1109" s="87" t="s">
        <v>73</v>
      </c>
      <c r="X1109" s="87"/>
      <c r="Y1109" s="87"/>
      <c r="Z1109" s="87"/>
      <c r="AA1109" s="87"/>
      <c r="AB1109" s="87"/>
      <c r="AC1109" s="90" t="str">
        <f t="shared" si="138"/>
        <v>Distrital</v>
      </c>
      <c r="AD1109" s="87" t="s">
        <v>73</v>
      </c>
      <c r="AE1109" s="87"/>
      <c r="AF1109" s="87"/>
      <c r="AG1109" s="87"/>
      <c r="AH1109" s="87"/>
      <c r="AI1109" s="87"/>
      <c r="AJ1109" s="87"/>
      <c r="AK1109" s="87"/>
      <c r="AL1109" s="87"/>
      <c r="AM1109" s="87"/>
      <c r="AN1109" s="90" t="s">
        <v>80</v>
      </c>
      <c r="AO1109" s="90" t="s">
        <v>1947</v>
      </c>
      <c r="AP1109" s="82"/>
      <c r="AQ1109" s="87" t="s">
        <v>59</v>
      </c>
      <c r="AR1109" s="87" t="s">
        <v>80</v>
      </c>
      <c r="AS1109" s="82"/>
      <c r="AT1109" s="87">
        <v>2</v>
      </c>
      <c r="AU1109" s="87">
        <v>2</v>
      </c>
      <c r="AV1109" s="87">
        <f t="shared" ref="AV1109" si="259">AT1109+AU1109</f>
        <v>4</v>
      </c>
      <c r="AW1109" s="87" t="str">
        <f t="shared" si="252"/>
        <v>Ninguna</v>
      </c>
      <c r="AX1109" s="87" t="s">
        <v>75</v>
      </c>
      <c r="AY1109" s="87"/>
      <c r="AZ1109" s="87"/>
      <c r="BA1109" s="91" t="s">
        <v>4098</v>
      </c>
      <c r="BB1109" s="84"/>
      <c r="BC1109" s="85"/>
      <c r="BD1109" s="85"/>
    </row>
    <row r="1110" spans="1:56" s="86" customFormat="1" ht="40.5" customHeight="1">
      <c r="A1110" s="78">
        <v>1105</v>
      </c>
      <c r="B1110" s="90" t="s">
        <v>4973</v>
      </c>
      <c r="C1110" s="88">
        <v>45575</v>
      </c>
      <c r="D1110" s="89">
        <v>0.58333333333333337</v>
      </c>
      <c r="E1110" s="87" t="s">
        <v>58</v>
      </c>
      <c r="F1110" s="87" t="s">
        <v>116</v>
      </c>
      <c r="G1110" s="87" t="s">
        <v>62</v>
      </c>
      <c r="H1110" s="90" t="s">
        <v>4688</v>
      </c>
      <c r="I1110" s="90" t="s">
        <v>118</v>
      </c>
      <c r="J1110" s="87" t="s">
        <v>70</v>
      </c>
      <c r="K1110" s="87"/>
      <c r="L1110" s="90" t="s">
        <v>4975</v>
      </c>
      <c r="M1110" s="91" t="s">
        <v>4976</v>
      </c>
      <c r="N1110" s="90" t="s">
        <v>4290</v>
      </c>
      <c r="O1110" s="90" t="str">
        <f>_xlfn.TEXTJOIN(", ",TRUE,$P1110:$T1110)</f>
        <v>Barrios Unidos</v>
      </c>
      <c r="P1110" s="87" t="s">
        <v>686</v>
      </c>
      <c r="Q1110" s="87"/>
      <c r="R1110" s="87"/>
      <c r="S1110" s="87"/>
      <c r="T1110" s="87"/>
      <c r="U1110" s="87"/>
      <c r="V1110" s="90" t="str">
        <f>_xlfn.TEXTJOIN(", ",TRUE,$W1110:$AB1110)</f>
        <v>Centro Ampliado</v>
      </c>
      <c r="W1110" s="87" t="s">
        <v>415</v>
      </c>
      <c r="X1110" s="87"/>
      <c r="Y1110" s="87"/>
      <c r="Z1110" s="87"/>
      <c r="AA1110" s="87"/>
      <c r="AB1110" s="87"/>
      <c r="AC1110" s="90" t="str">
        <f>_xlfn.TEXTJOIN(", ",TRUE,$AD1110:$AM1110)</f>
        <v>Barrios Unidos</v>
      </c>
      <c r="AD1110" s="87" t="s">
        <v>686</v>
      </c>
      <c r="AE1110" s="87"/>
      <c r="AF1110" s="87"/>
      <c r="AG1110" s="87"/>
      <c r="AH1110" s="87"/>
      <c r="AI1110" s="87"/>
      <c r="AJ1110" s="87"/>
      <c r="AK1110" s="87"/>
      <c r="AL1110" s="87"/>
      <c r="AM1110" s="87"/>
      <c r="AN1110" s="90" t="s">
        <v>4977</v>
      </c>
      <c r="AO1110" s="90" t="s">
        <v>4978</v>
      </c>
      <c r="AP1110" s="82"/>
      <c r="AQ1110" s="87" t="s">
        <v>59</v>
      </c>
      <c r="AR1110" s="87" t="s">
        <v>80</v>
      </c>
      <c r="AS1110" s="82"/>
      <c r="AT1110" s="87">
        <v>4</v>
      </c>
      <c r="AU1110" s="87">
        <v>3</v>
      </c>
      <c r="AV1110" s="87">
        <f>AT1110+AU1110</f>
        <v>7</v>
      </c>
      <c r="AW1110" s="87" t="str">
        <f t="shared" si="252"/>
        <v>Ninguna</v>
      </c>
      <c r="AX1110" s="87" t="s">
        <v>75</v>
      </c>
      <c r="AY1110" s="87"/>
      <c r="AZ1110" s="87"/>
      <c r="BA1110" s="91" t="s">
        <v>4979</v>
      </c>
      <c r="BB1110" s="84"/>
      <c r="BC1110" s="85"/>
      <c r="BD1110" s="85"/>
    </row>
    <row r="1111" spans="1:56" s="86" customFormat="1" ht="40.5" customHeight="1">
      <c r="A1111" s="87">
        <v>1106</v>
      </c>
      <c r="B1111" s="90" t="s">
        <v>4980</v>
      </c>
      <c r="C1111" s="88">
        <v>45575</v>
      </c>
      <c r="D1111" s="89">
        <v>0.58333333333333337</v>
      </c>
      <c r="E1111" s="87" t="s">
        <v>58</v>
      </c>
      <c r="F1111" s="87" t="s">
        <v>1184</v>
      </c>
      <c r="G1111" s="87" t="s">
        <v>62</v>
      </c>
      <c r="H1111" s="90" t="s">
        <v>4848</v>
      </c>
      <c r="I1111" s="90" t="s">
        <v>118</v>
      </c>
      <c r="J1111" s="87" t="s">
        <v>70</v>
      </c>
      <c r="K1111" s="87" t="s">
        <v>324</v>
      </c>
      <c r="L1111" s="90" t="s">
        <v>4849</v>
      </c>
      <c r="M1111" s="91" t="s">
        <v>78</v>
      </c>
      <c r="N1111" s="90" t="s">
        <v>2560</v>
      </c>
      <c r="O1111" s="90" t="str">
        <f>_xlfn.TEXTJOIN(", ",TRUE,$P1111:$T1111)</f>
        <v>Usme</v>
      </c>
      <c r="P1111" s="87" t="s">
        <v>670</v>
      </c>
      <c r="Q1111" s="87"/>
      <c r="R1111" s="87"/>
      <c r="S1111" s="87"/>
      <c r="T1111" s="87"/>
      <c r="U1111" s="87"/>
      <c r="V1111" s="90" t="str">
        <f>_xlfn.TEXTJOIN(", ",TRUE,$W1111:$AB1111)</f>
        <v>Suroriente</v>
      </c>
      <c r="W1111" s="87" t="s">
        <v>108</v>
      </c>
      <c r="X1111" s="87"/>
      <c r="Y1111" s="87"/>
      <c r="Z1111" s="87"/>
      <c r="AA1111" s="87"/>
      <c r="AB1111" s="87"/>
      <c r="AC1111" s="90" t="str">
        <f>_xlfn.TEXTJOIN(", ",TRUE,$AD1111:$AM1111)</f>
        <v>Usme Entrenubes</v>
      </c>
      <c r="AD1111" s="87" t="s">
        <v>671</v>
      </c>
      <c r="AE1111" s="87"/>
      <c r="AF1111" s="87"/>
      <c r="AG1111" s="87"/>
      <c r="AH1111" s="87"/>
      <c r="AI1111" s="87"/>
      <c r="AJ1111" s="87"/>
      <c r="AK1111" s="87"/>
      <c r="AL1111" s="87"/>
      <c r="AM1111" s="87"/>
      <c r="AN1111" s="90" t="s">
        <v>670</v>
      </c>
      <c r="AO1111" s="90" t="s">
        <v>4959</v>
      </c>
      <c r="AP1111" s="82"/>
      <c r="AQ1111" s="87" t="s">
        <v>59</v>
      </c>
      <c r="AR1111" s="87" t="s">
        <v>80</v>
      </c>
      <c r="AS1111" s="82"/>
      <c r="AT1111" s="87">
        <v>6</v>
      </c>
      <c r="AU1111" s="87">
        <v>11</v>
      </c>
      <c r="AV1111" s="87">
        <v>17</v>
      </c>
      <c r="AW1111" s="87" t="str">
        <f t="shared" ref="AW1111:AW1128" si="260">_xlfn.TEXTJOIN(", ",TRUE,$AX1111:$AZ1111)</f>
        <v>Ninguna</v>
      </c>
      <c r="AX1111" s="87" t="s">
        <v>75</v>
      </c>
      <c r="AY1111" s="87"/>
      <c r="AZ1111" s="87"/>
      <c r="BA1111" s="91" t="s">
        <v>4961</v>
      </c>
      <c r="BB1111" s="84"/>
      <c r="BC1111" s="85"/>
      <c r="BD1111" s="85"/>
    </row>
    <row r="1112" spans="1:56" s="86" customFormat="1" ht="40.5" customHeight="1">
      <c r="A1112" s="78">
        <v>1107</v>
      </c>
      <c r="B1112" s="90" t="s">
        <v>4981</v>
      </c>
      <c r="C1112" s="88">
        <v>45575</v>
      </c>
      <c r="D1112" s="89">
        <v>0.66666666666666663</v>
      </c>
      <c r="E1112" s="87" t="s">
        <v>93</v>
      </c>
      <c r="F1112" s="87" t="s">
        <v>321</v>
      </c>
      <c r="G1112" s="87" t="s">
        <v>95</v>
      </c>
      <c r="H1112" s="90" t="s">
        <v>910</v>
      </c>
      <c r="I1112" s="90" t="s">
        <v>118</v>
      </c>
      <c r="J1112" s="87" t="s">
        <v>70</v>
      </c>
      <c r="K1112" s="87" t="s">
        <v>1810</v>
      </c>
      <c r="L1112" s="90" t="s">
        <v>4982</v>
      </c>
      <c r="M1112" s="91" t="s">
        <v>1316</v>
      </c>
      <c r="N1112" s="90" t="s">
        <v>3346</v>
      </c>
      <c r="O1112" s="90" t="str">
        <f>_xlfn.TEXTJOIN(", ",TRUE,$P1112:$T1112)</f>
        <v>Tunjuelito</v>
      </c>
      <c r="P1112" s="87" t="s">
        <v>618</v>
      </c>
      <c r="Q1112" s="87"/>
      <c r="R1112" s="87"/>
      <c r="S1112" s="87"/>
      <c r="T1112" s="87"/>
      <c r="U1112" s="87"/>
      <c r="V1112" s="90" t="str">
        <f>_xlfn.TEXTJOIN(", ",TRUE,$W1112:$AB1112)</f>
        <v>Suroriente</v>
      </c>
      <c r="W1112" s="87" t="s">
        <v>108</v>
      </c>
      <c r="X1112" s="87"/>
      <c r="Y1112" s="87"/>
      <c r="Z1112" s="87"/>
      <c r="AA1112" s="87"/>
      <c r="AB1112" s="87"/>
      <c r="AC1112" s="90" t="str">
        <f>_xlfn.TEXTJOIN(", ",TRUE,$AD1112:$AM1112)</f>
        <v>Tunjuelito</v>
      </c>
      <c r="AD1112" s="87" t="s">
        <v>618</v>
      </c>
      <c r="AE1112" s="87"/>
      <c r="AF1112" s="87"/>
      <c r="AG1112" s="87"/>
      <c r="AH1112" s="87"/>
      <c r="AI1112" s="87"/>
      <c r="AJ1112" s="87"/>
      <c r="AK1112" s="87"/>
      <c r="AL1112" s="87"/>
      <c r="AM1112" s="87"/>
      <c r="AN1112" s="90" t="s">
        <v>618</v>
      </c>
      <c r="AO1112" s="102" t="s">
        <v>2638</v>
      </c>
      <c r="AP1112" s="82"/>
      <c r="AQ1112" s="87" t="s">
        <v>59</v>
      </c>
      <c r="AR1112" s="87" t="s">
        <v>80</v>
      </c>
      <c r="AS1112" s="82"/>
      <c r="AT1112" s="87">
        <v>13</v>
      </c>
      <c r="AU1112" s="87">
        <v>1</v>
      </c>
      <c r="AV1112" s="87">
        <f>AT1112+AU1112</f>
        <v>14</v>
      </c>
      <c r="AW1112" s="87" t="str">
        <f>_xlfn.TEXTJOIN(", ",TRUE,$AX1112:$AZ1112)</f>
        <v>Horarios Acordes</v>
      </c>
      <c r="AX1112" s="87" t="s">
        <v>213</v>
      </c>
      <c r="AY1112" s="87"/>
      <c r="AZ1112" s="87"/>
      <c r="BA1112" s="91" t="s">
        <v>4983</v>
      </c>
      <c r="BB1112" s="84"/>
      <c r="BC1112" s="85"/>
      <c r="BD1112" s="85"/>
    </row>
    <row r="1113" spans="1:56" s="86" customFormat="1" ht="40.5" customHeight="1">
      <c r="A1113" s="87">
        <v>1108</v>
      </c>
      <c r="B1113" s="79" t="s">
        <v>4984</v>
      </c>
      <c r="C1113" s="88">
        <v>45575</v>
      </c>
      <c r="D1113" s="89">
        <v>0.70833333333333337</v>
      </c>
      <c r="E1113" s="87" t="s">
        <v>58</v>
      </c>
      <c r="F1113" s="87" t="s">
        <v>1437</v>
      </c>
      <c r="G1113" s="87" t="s">
        <v>95</v>
      </c>
      <c r="H1113" s="90" t="s">
        <v>4985</v>
      </c>
      <c r="I1113" s="90" t="s">
        <v>188</v>
      </c>
      <c r="J1113" s="87" t="s">
        <v>119</v>
      </c>
      <c r="K1113" s="87" t="s">
        <v>1322</v>
      </c>
      <c r="L1113" s="90" t="s">
        <v>4986</v>
      </c>
      <c r="M1113" s="90" t="s">
        <v>4987</v>
      </c>
      <c r="N1113" s="90" t="s">
        <v>4988</v>
      </c>
      <c r="O1113" s="90" t="str">
        <f t="shared" si="133"/>
        <v>Fontibón</v>
      </c>
      <c r="P1113" s="87" t="s">
        <v>420</v>
      </c>
      <c r="Q1113" s="87"/>
      <c r="R1113" s="87"/>
      <c r="S1113" s="87"/>
      <c r="T1113" s="87"/>
      <c r="U1113" s="87"/>
      <c r="V1113" s="90" t="str">
        <f t="shared" si="137"/>
        <v>Occidente</v>
      </c>
      <c r="W1113" s="87" t="s">
        <v>124</v>
      </c>
      <c r="X1113" s="87"/>
      <c r="Y1113" s="87"/>
      <c r="Z1113" s="87"/>
      <c r="AA1113" s="87"/>
      <c r="AB1113" s="87"/>
      <c r="AC1113" s="90" t="str">
        <f t="shared" si="138"/>
        <v>Fontibón</v>
      </c>
      <c r="AD1113" s="87" t="s">
        <v>420</v>
      </c>
      <c r="AE1113" s="87"/>
      <c r="AF1113" s="87"/>
      <c r="AG1113" s="87"/>
      <c r="AH1113" s="87"/>
      <c r="AI1113" s="87"/>
      <c r="AJ1113" s="87"/>
      <c r="AK1113" s="87"/>
      <c r="AL1113" s="87"/>
      <c r="AM1113" s="87"/>
      <c r="AN1113" s="90" t="s">
        <v>420</v>
      </c>
      <c r="AO1113" s="102" t="s">
        <v>2638</v>
      </c>
      <c r="AP1113" s="82"/>
      <c r="AQ1113" s="87" t="s">
        <v>59</v>
      </c>
      <c r="AR1113" s="87" t="s">
        <v>80</v>
      </c>
      <c r="AS1113" s="82"/>
      <c r="AT1113" s="87">
        <v>7</v>
      </c>
      <c r="AU1113" s="87">
        <v>7</v>
      </c>
      <c r="AV1113" s="87">
        <f t="shared" ref="AV1113" si="261">AT1113+AU1113</f>
        <v>14</v>
      </c>
      <c r="AW1113" s="87" t="str">
        <f t="shared" si="260"/>
        <v>Contenidos adaptados</v>
      </c>
      <c r="AX1113" s="87" t="s">
        <v>212</v>
      </c>
      <c r="AY1113" s="87"/>
      <c r="AZ1113" s="87"/>
      <c r="BA1113" s="91" t="s">
        <v>4989</v>
      </c>
      <c r="BB1113" s="84"/>
      <c r="BC1113" s="85"/>
      <c r="BD1113" s="85"/>
    </row>
    <row r="1114" spans="1:56" s="86" customFormat="1" ht="40.5" customHeight="1">
      <c r="A1114" s="78">
        <v>1109</v>
      </c>
      <c r="B1114" s="90" t="s">
        <v>4990</v>
      </c>
      <c r="C1114" s="88">
        <v>45576</v>
      </c>
      <c r="D1114" s="89">
        <v>0.41666666666666669</v>
      </c>
      <c r="E1114" s="87" t="s">
        <v>58</v>
      </c>
      <c r="F1114" s="87" t="s">
        <v>1184</v>
      </c>
      <c r="G1114" s="87" t="s">
        <v>62</v>
      </c>
      <c r="H1114" s="90" t="s">
        <v>4991</v>
      </c>
      <c r="I1114" s="90" t="s">
        <v>118</v>
      </c>
      <c r="J1114" s="87" t="s">
        <v>70</v>
      </c>
      <c r="K1114" s="87" t="s">
        <v>71</v>
      </c>
      <c r="L1114" s="90" t="s">
        <v>2558</v>
      </c>
      <c r="M1114" s="91" t="s">
        <v>2559</v>
      </c>
      <c r="N1114" s="90" t="s">
        <v>2560</v>
      </c>
      <c r="O1114" s="90" t="str">
        <f>_xlfn.TEXTJOIN(", ",TRUE,$P1114:$T1114)</f>
        <v>Rafael Uribe Uribe</v>
      </c>
      <c r="P1114" s="87" t="s">
        <v>414</v>
      </c>
      <c r="Q1114" s="87"/>
      <c r="R1114" s="87"/>
      <c r="S1114" s="87"/>
      <c r="T1114" s="87"/>
      <c r="U1114" s="87"/>
      <c r="V1114" s="90" t="str">
        <f>_xlfn.TEXTJOIN(", ",TRUE,$W1114:$AB1114)</f>
        <v>Suroriente</v>
      </c>
      <c r="W1114" s="87" t="s">
        <v>108</v>
      </c>
      <c r="X1114" s="87"/>
      <c r="Y1114" s="87"/>
      <c r="Z1114" s="87"/>
      <c r="AA1114" s="87"/>
      <c r="AB1114" s="87"/>
      <c r="AC1114" s="90" t="str">
        <f>_xlfn.TEXTJOIN(", ",TRUE,$AD1114:$AM1114)</f>
        <v>Rafael Uribe</v>
      </c>
      <c r="AD1114" s="87" t="s">
        <v>467</v>
      </c>
      <c r="AE1114" s="87"/>
      <c r="AF1114" s="87"/>
      <c r="AG1114" s="87"/>
      <c r="AH1114" s="87"/>
      <c r="AI1114" s="87"/>
      <c r="AJ1114" s="87"/>
      <c r="AK1114" s="87"/>
      <c r="AL1114" s="87"/>
      <c r="AM1114" s="87"/>
      <c r="AN1114" s="90" t="s">
        <v>1364</v>
      </c>
      <c r="AO1114" s="109" t="s">
        <v>4992</v>
      </c>
      <c r="AP1114" s="82"/>
      <c r="AQ1114" s="87" t="s">
        <v>59</v>
      </c>
      <c r="AR1114" s="87" t="s">
        <v>80</v>
      </c>
      <c r="AS1114" s="82"/>
      <c r="AT1114" s="87">
        <v>5</v>
      </c>
      <c r="AU1114" s="87">
        <v>6</v>
      </c>
      <c r="AV1114" s="87">
        <f>AT1114+AU1114</f>
        <v>11</v>
      </c>
      <c r="AW1114" s="87" t="str">
        <f>_xlfn.TEXTJOIN(", ",TRUE,$AX1114:$AZ1114)</f>
        <v>Ninguna</v>
      </c>
      <c r="AX1114" s="87" t="s">
        <v>75</v>
      </c>
      <c r="AY1114" s="87"/>
      <c r="AZ1114" s="87"/>
      <c r="BA1114" s="91" t="s">
        <v>4993</v>
      </c>
      <c r="BB1114" s="84"/>
      <c r="BC1114" s="85"/>
      <c r="BD1114" s="85"/>
    </row>
    <row r="1115" spans="1:56" s="86" customFormat="1" ht="47.25" customHeight="1">
      <c r="A1115" s="87">
        <v>1110</v>
      </c>
      <c r="B1115" s="90" t="s">
        <v>4994</v>
      </c>
      <c r="C1115" s="88">
        <v>45576</v>
      </c>
      <c r="D1115" s="89">
        <v>0.625</v>
      </c>
      <c r="E1115" s="87" t="s">
        <v>58</v>
      </c>
      <c r="F1115" s="87" t="s">
        <v>1184</v>
      </c>
      <c r="G1115" s="87" t="s">
        <v>62</v>
      </c>
      <c r="H1115" s="90" t="s">
        <v>4995</v>
      </c>
      <c r="I1115" s="90" t="s">
        <v>118</v>
      </c>
      <c r="J1115" s="87" t="s">
        <v>70</v>
      </c>
      <c r="K1115" s="87" t="s">
        <v>71</v>
      </c>
      <c r="L1115" s="90" t="s">
        <v>4996</v>
      </c>
      <c r="M1115" s="91" t="s">
        <v>1603</v>
      </c>
      <c r="N1115" s="90" t="s">
        <v>2257</v>
      </c>
      <c r="O1115" s="90" t="str">
        <f t="shared" si="133"/>
        <v>Puente Aranda</v>
      </c>
      <c r="P1115" s="87" t="s">
        <v>823</v>
      </c>
      <c r="Q1115" s="87"/>
      <c r="R1115" s="87"/>
      <c r="S1115" s="87"/>
      <c r="T1115" s="87"/>
      <c r="U1115" s="87"/>
      <c r="V1115" s="90" t="str">
        <f t="shared" si="137"/>
        <v>Centro Ampliado</v>
      </c>
      <c r="W1115" s="87" t="s">
        <v>415</v>
      </c>
      <c r="X1115" s="87"/>
      <c r="Y1115" s="87"/>
      <c r="Z1115" s="87"/>
      <c r="AA1115" s="87"/>
      <c r="AB1115" s="87"/>
      <c r="AC1115" s="90" t="str">
        <f t="shared" si="138"/>
        <v>Puente Aranda</v>
      </c>
      <c r="AD1115" s="87" t="s">
        <v>823</v>
      </c>
      <c r="AE1115" s="87"/>
      <c r="AF1115" s="87"/>
      <c r="AG1115" s="87"/>
      <c r="AH1115" s="87"/>
      <c r="AI1115" s="87"/>
      <c r="AJ1115" s="87"/>
      <c r="AK1115" s="87"/>
      <c r="AL1115" s="87"/>
      <c r="AM1115" s="87"/>
      <c r="AN1115" s="90" t="s">
        <v>823</v>
      </c>
      <c r="AO1115" s="90" t="s">
        <v>4997</v>
      </c>
      <c r="AP1115" s="82"/>
      <c r="AQ1115" s="87" t="s">
        <v>59</v>
      </c>
      <c r="AR1115" s="87" t="s">
        <v>80</v>
      </c>
      <c r="AS1115" s="82"/>
      <c r="AT1115" s="87">
        <v>5</v>
      </c>
      <c r="AU1115" s="87">
        <v>5</v>
      </c>
      <c r="AV1115" s="87">
        <f t="shared" ref="AV1115" si="262">AT1115+AU1115</f>
        <v>10</v>
      </c>
      <c r="AW1115" s="87" t="str">
        <f t="shared" si="260"/>
        <v/>
      </c>
      <c r="AX1115" s="87"/>
      <c r="AY1115" s="87"/>
      <c r="AZ1115" s="87"/>
      <c r="BA1115" s="91" t="s">
        <v>4998</v>
      </c>
      <c r="BB1115" s="84"/>
      <c r="BC1115" s="85"/>
      <c r="BD1115" s="85"/>
    </row>
    <row r="1116" spans="1:56" s="86" customFormat="1" ht="47.25" customHeight="1">
      <c r="A1116" s="78">
        <v>1111</v>
      </c>
      <c r="B1116" s="90" t="s">
        <v>4999</v>
      </c>
      <c r="C1116" s="88">
        <v>45577</v>
      </c>
      <c r="D1116" s="89">
        <v>0.33333333333333331</v>
      </c>
      <c r="E1116" s="87" t="s">
        <v>58</v>
      </c>
      <c r="F1116" s="87" t="s">
        <v>1437</v>
      </c>
      <c r="G1116" s="87" t="s">
        <v>95</v>
      </c>
      <c r="H1116" s="90" t="s">
        <v>5000</v>
      </c>
      <c r="I1116" s="90" t="s">
        <v>118</v>
      </c>
      <c r="J1116" s="87" t="s">
        <v>173</v>
      </c>
      <c r="K1116" s="87"/>
      <c r="L1116" s="90" t="s">
        <v>72</v>
      </c>
      <c r="M1116" s="91" t="s">
        <v>72</v>
      </c>
      <c r="N1116" s="90" t="s">
        <v>72</v>
      </c>
      <c r="O1116" s="90" t="str">
        <f>_xlfn.TEXTJOIN(", ",TRUE,$P1116:$T1116)</f>
        <v>Distrital</v>
      </c>
      <c r="P1116" s="87" t="s">
        <v>73</v>
      </c>
      <c r="Q1116" s="87"/>
      <c r="R1116" s="87"/>
      <c r="S1116" s="87"/>
      <c r="T1116" s="87"/>
      <c r="U1116" s="87"/>
      <c r="V1116" s="90" t="str">
        <f>_xlfn.TEXTJOIN(", ",TRUE,$W1116:$AB1116)</f>
        <v>Distrital</v>
      </c>
      <c r="W1116" s="87" t="s">
        <v>73</v>
      </c>
      <c r="X1116" s="87"/>
      <c r="Y1116" s="87"/>
      <c r="Z1116" s="87"/>
      <c r="AA1116" s="87"/>
      <c r="AB1116" s="87"/>
      <c r="AC1116" s="90" t="str">
        <f>_xlfn.TEXTJOIN(", ",TRUE,$AD1116:$AM1116)</f>
        <v>Distrital</v>
      </c>
      <c r="AD1116" s="87" t="s">
        <v>73</v>
      </c>
      <c r="AE1116" s="87"/>
      <c r="AF1116" s="87"/>
      <c r="AG1116" s="87"/>
      <c r="AH1116" s="87"/>
      <c r="AI1116" s="87"/>
      <c r="AJ1116" s="87"/>
      <c r="AK1116" s="87"/>
      <c r="AL1116" s="87"/>
      <c r="AM1116" s="87"/>
      <c r="AN1116" s="90" t="s">
        <v>80</v>
      </c>
      <c r="AO1116" s="102" t="s">
        <v>2638</v>
      </c>
      <c r="AP1116" s="82"/>
      <c r="AQ1116" s="87" t="s">
        <v>59</v>
      </c>
      <c r="AR1116" s="87" t="s">
        <v>80</v>
      </c>
      <c r="AS1116" s="82"/>
      <c r="AT1116" s="87">
        <v>3</v>
      </c>
      <c r="AU1116" s="87">
        <v>5</v>
      </c>
      <c r="AV1116" s="87">
        <f>AT1116+AU1116</f>
        <v>8</v>
      </c>
      <c r="AW1116" s="87" t="str">
        <f>_xlfn.TEXTJOIN(", ",TRUE,$AX1116:$AZ1116)</f>
        <v>Ninguna</v>
      </c>
      <c r="AX1116" s="87" t="s">
        <v>75</v>
      </c>
      <c r="AY1116" s="87"/>
      <c r="AZ1116" s="87"/>
      <c r="BA1116" s="91" t="s">
        <v>5001</v>
      </c>
      <c r="BB1116" s="84"/>
      <c r="BC1116" s="85"/>
      <c r="BD1116" s="85"/>
    </row>
    <row r="1117" spans="1:56" s="86" customFormat="1" ht="51" customHeight="1">
      <c r="A1117" s="87">
        <v>1112</v>
      </c>
      <c r="B1117" s="90" t="s">
        <v>5002</v>
      </c>
      <c r="C1117" s="88">
        <v>45580</v>
      </c>
      <c r="D1117" s="89">
        <v>0.35416666666666669</v>
      </c>
      <c r="E1117" s="87" t="s">
        <v>58</v>
      </c>
      <c r="F1117" s="87" t="s">
        <v>61</v>
      </c>
      <c r="G1117" s="87" t="s">
        <v>62</v>
      </c>
      <c r="H1117" s="90" t="s">
        <v>5003</v>
      </c>
      <c r="I1117" s="90" t="s">
        <v>128</v>
      </c>
      <c r="J1117" s="87" t="s">
        <v>173</v>
      </c>
      <c r="K1117" s="87"/>
      <c r="L1117" s="90" t="s">
        <v>3984</v>
      </c>
      <c r="M1117" s="91" t="s">
        <v>72</v>
      </c>
      <c r="N1117" s="90" t="s">
        <v>349</v>
      </c>
      <c r="O1117" s="90" t="str">
        <f>_xlfn.TEXTJOIN(", ",TRUE,$P1117:$T1117)</f>
        <v>Distrital</v>
      </c>
      <c r="P1117" s="87" t="s">
        <v>73</v>
      </c>
      <c r="Q1117" s="87"/>
      <c r="R1117" s="87"/>
      <c r="S1117" s="87"/>
      <c r="T1117" s="87"/>
      <c r="U1117" s="87"/>
      <c r="V1117" s="90" t="str">
        <f>_xlfn.TEXTJOIN(", ",TRUE,$W1117:$AB1117)</f>
        <v>Distrital</v>
      </c>
      <c r="W1117" s="87" t="s">
        <v>73</v>
      </c>
      <c r="X1117" s="87"/>
      <c r="Y1117" s="87"/>
      <c r="Z1117" s="87"/>
      <c r="AA1117" s="87"/>
      <c r="AB1117" s="87"/>
      <c r="AC1117" s="90" t="str">
        <f>_xlfn.TEXTJOIN(", ",TRUE,$AD1117:$AM1117)</f>
        <v>Distrital</v>
      </c>
      <c r="AD1117" s="87" t="s">
        <v>73</v>
      </c>
      <c r="AE1117" s="87"/>
      <c r="AF1117" s="87"/>
      <c r="AG1117" s="87"/>
      <c r="AH1117" s="87"/>
      <c r="AI1117" s="87"/>
      <c r="AJ1117" s="87"/>
      <c r="AK1117" s="87"/>
      <c r="AL1117" s="87"/>
      <c r="AM1117" s="87"/>
      <c r="AN1117" s="90" t="s">
        <v>80</v>
      </c>
      <c r="AO1117" s="90" t="s">
        <v>5004</v>
      </c>
      <c r="AP1117" s="82"/>
      <c r="AQ1117" s="87" t="s">
        <v>60</v>
      </c>
      <c r="AR1117" s="87" t="s">
        <v>2854</v>
      </c>
      <c r="AS1117" s="82"/>
      <c r="AT1117" s="87">
        <v>10</v>
      </c>
      <c r="AU1117" s="87">
        <v>4</v>
      </c>
      <c r="AV1117" s="87">
        <f>AT1117+AU1117</f>
        <v>14</v>
      </c>
      <c r="AW1117" s="87" t="str">
        <f t="shared" si="260"/>
        <v>Horarios Acordes</v>
      </c>
      <c r="AX1117" s="87" t="s">
        <v>213</v>
      </c>
      <c r="AY1117" s="87"/>
      <c r="AZ1117" s="87"/>
      <c r="BA1117" s="91" t="s">
        <v>5005</v>
      </c>
      <c r="BB1117" s="84"/>
      <c r="BC1117" s="85"/>
      <c r="BD1117" s="85"/>
    </row>
    <row r="1118" spans="1:56" s="86" customFormat="1" ht="40.5" customHeight="1">
      <c r="A1118" s="78">
        <v>1113</v>
      </c>
      <c r="B1118" s="90" t="s">
        <v>819</v>
      </c>
      <c r="C1118" s="88">
        <v>45580</v>
      </c>
      <c r="D1118" s="89">
        <v>0.375</v>
      </c>
      <c r="E1118" s="87" t="s">
        <v>93</v>
      </c>
      <c r="F1118" s="87" t="s">
        <v>321</v>
      </c>
      <c r="G1118" s="87" t="s">
        <v>62</v>
      </c>
      <c r="H1118" s="90" t="s">
        <v>820</v>
      </c>
      <c r="I1118" s="90" t="s">
        <v>118</v>
      </c>
      <c r="J1118" s="87" t="s">
        <v>70</v>
      </c>
      <c r="K1118" s="87" t="s">
        <v>1810</v>
      </c>
      <c r="L1118" s="90" t="s">
        <v>2214</v>
      </c>
      <c r="M1118" s="91" t="s">
        <v>4679</v>
      </c>
      <c r="N1118" s="90" t="s">
        <v>2215</v>
      </c>
      <c r="O1118" s="90" t="str">
        <f t="shared" si="133"/>
        <v>Puente Aranda</v>
      </c>
      <c r="P1118" s="87" t="s">
        <v>823</v>
      </c>
      <c r="Q1118" s="87"/>
      <c r="R1118" s="87"/>
      <c r="S1118" s="87"/>
      <c r="T1118" s="87"/>
      <c r="U1118" s="87"/>
      <c r="V1118" s="90" t="str">
        <f t="shared" si="137"/>
        <v>Centro Ampliado</v>
      </c>
      <c r="W1118" s="87" t="s">
        <v>415</v>
      </c>
      <c r="X1118" s="87"/>
      <c r="Y1118" s="87"/>
      <c r="Z1118" s="87"/>
      <c r="AA1118" s="87"/>
      <c r="AB1118" s="87"/>
      <c r="AC1118" s="90" t="str">
        <f t="shared" si="138"/>
        <v>Puente Aranda</v>
      </c>
      <c r="AD1118" s="87" t="s">
        <v>823</v>
      </c>
      <c r="AE1118" s="87"/>
      <c r="AF1118" s="87"/>
      <c r="AG1118" s="87"/>
      <c r="AH1118" s="87"/>
      <c r="AI1118" s="87"/>
      <c r="AJ1118" s="87"/>
      <c r="AK1118" s="87"/>
      <c r="AL1118" s="87"/>
      <c r="AM1118" s="87"/>
      <c r="AN1118" s="90" t="s">
        <v>823</v>
      </c>
      <c r="AO1118" s="90" t="s">
        <v>5006</v>
      </c>
      <c r="AP1118" s="82"/>
      <c r="AQ1118" s="87" t="s">
        <v>59</v>
      </c>
      <c r="AR1118" s="87" t="s">
        <v>80</v>
      </c>
      <c r="AS1118" s="82"/>
      <c r="AT1118" s="87">
        <v>26</v>
      </c>
      <c r="AU1118" s="87">
        <v>1</v>
      </c>
      <c r="AV1118" s="87">
        <f t="shared" ref="AV1118" si="263">AT1118+AU1118</f>
        <v>27</v>
      </c>
      <c r="AW1118" s="87" t="str">
        <f t="shared" si="260"/>
        <v/>
      </c>
      <c r="AX1118" s="87"/>
      <c r="AY1118" s="87"/>
      <c r="AZ1118" s="87"/>
      <c r="BA1118" s="91" t="s">
        <v>5007</v>
      </c>
      <c r="BB1118" s="84"/>
      <c r="BC1118" s="85"/>
      <c r="BD1118" s="85"/>
    </row>
    <row r="1119" spans="1:56" s="86" customFormat="1" ht="36.75" customHeight="1">
      <c r="A1119" s="87">
        <v>1114</v>
      </c>
      <c r="B1119" s="90" t="s">
        <v>5008</v>
      </c>
      <c r="C1119" s="88">
        <v>45580</v>
      </c>
      <c r="D1119" s="89">
        <v>0.375</v>
      </c>
      <c r="E1119" s="87" t="s">
        <v>58</v>
      </c>
      <c r="F1119" s="87" t="s">
        <v>1343</v>
      </c>
      <c r="G1119" s="87" t="s">
        <v>62</v>
      </c>
      <c r="H1119" s="90" t="s">
        <v>5009</v>
      </c>
      <c r="I1119" s="90" t="s">
        <v>193</v>
      </c>
      <c r="J1119" s="87" t="s">
        <v>119</v>
      </c>
      <c r="K1119" s="87" t="s">
        <v>209</v>
      </c>
      <c r="L1119" s="90" t="s">
        <v>5010</v>
      </c>
      <c r="M1119" s="91" t="s">
        <v>72</v>
      </c>
      <c r="N1119" s="90" t="s">
        <v>5011</v>
      </c>
      <c r="O1119" s="90" t="str">
        <f>_xlfn.TEXTJOIN(", ",TRUE,$P1119:$T1119)</f>
        <v>Distrital</v>
      </c>
      <c r="P1119" s="87" t="s">
        <v>73</v>
      </c>
      <c r="Q1119" s="87"/>
      <c r="R1119" s="87"/>
      <c r="S1119" s="87"/>
      <c r="T1119" s="87"/>
      <c r="U1119" s="87"/>
      <c r="V1119" s="90" t="str">
        <f>_xlfn.TEXTJOIN(", ",TRUE,$W1119:$AB1119)</f>
        <v>Distrital</v>
      </c>
      <c r="W1119" s="87" t="s">
        <v>73</v>
      </c>
      <c r="X1119" s="87"/>
      <c r="Y1119" s="87"/>
      <c r="Z1119" s="87"/>
      <c r="AA1119" s="87"/>
      <c r="AB1119" s="87"/>
      <c r="AC1119" s="90" t="str">
        <f>_xlfn.TEXTJOIN(", ",TRUE,$AD1119:$AM1119)</f>
        <v>Distrital</v>
      </c>
      <c r="AD1119" s="87" t="s">
        <v>73</v>
      </c>
      <c r="AE1119" s="87"/>
      <c r="AF1119" s="87"/>
      <c r="AG1119" s="87"/>
      <c r="AH1119" s="87"/>
      <c r="AI1119" s="87"/>
      <c r="AJ1119" s="87"/>
      <c r="AK1119" s="87"/>
      <c r="AL1119" s="87"/>
      <c r="AM1119" s="87"/>
      <c r="AN1119" s="90" t="s">
        <v>160</v>
      </c>
      <c r="AO1119" s="90" t="s">
        <v>5012</v>
      </c>
      <c r="AP1119" s="82"/>
      <c r="AQ1119" s="87" t="s">
        <v>59</v>
      </c>
      <c r="AR1119" s="87" t="s">
        <v>80</v>
      </c>
      <c r="AS1119" s="82"/>
      <c r="AT1119" s="87">
        <v>7</v>
      </c>
      <c r="AU1119" s="87">
        <v>3</v>
      </c>
      <c r="AV1119" s="87">
        <f>AT1119+AU1119</f>
        <v>10</v>
      </c>
      <c r="AW1119" s="87" t="str">
        <f>_xlfn.TEXTJOIN(", ",TRUE,$AX1119:$AZ1119)</f>
        <v/>
      </c>
      <c r="AX1119" s="87"/>
      <c r="AY1119" s="87"/>
      <c r="AZ1119" s="87"/>
      <c r="BA1119" s="91" t="s">
        <v>5013</v>
      </c>
      <c r="BB1119" s="84"/>
      <c r="BC1119" s="85"/>
      <c r="BD1119" s="85"/>
    </row>
    <row r="1120" spans="1:56" s="86" customFormat="1" ht="40.5" customHeight="1">
      <c r="A1120" s="78">
        <v>1115</v>
      </c>
      <c r="B1120" s="90" t="s">
        <v>5014</v>
      </c>
      <c r="C1120" s="88">
        <v>45580</v>
      </c>
      <c r="D1120" s="89">
        <v>0.41666666666666669</v>
      </c>
      <c r="E1120" s="87" t="s">
        <v>58</v>
      </c>
      <c r="F1120" s="87" t="s">
        <v>1184</v>
      </c>
      <c r="G1120" s="87" t="s">
        <v>62</v>
      </c>
      <c r="H1120" s="90" t="s">
        <v>5015</v>
      </c>
      <c r="I1120" s="90" t="s">
        <v>118</v>
      </c>
      <c r="J1120" s="87" t="s">
        <v>70</v>
      </c>
      <c r="K1120" s="87" t="s">
        <v>324</v>
      </c>
      <c r="L1120" s="90" t="s">
        <v>5016</v>
      </c>
      <c r="M1120" s="91" t="s">
        <v>3042</v>
      </c>
      <c r="N1120" s="90" t="s">
        <v>3042</v>
      </c>
      <c r="O1120" s="90" t="str">
        <f t="shared" si="133"/>
        <v>Santa Fe</v>
      </c>
      <c r="P1120" s="87" t="s">
        <v>541</v>
      </c>
      <c r="Q1120" s="87"/>
      <c r="R1120" s="87"/>
      <c r="S1120" s="87"/>
      <c r="T1120" s="87"/>
      <c r="U1120" s="87"/>
      <c r="V1120" s="90" t="str">
        <f t="shared" si="137"/>
        <v>Centro Ampliado</v>
      </c>
      <c r="W1120" s="87" t="s">
        <v>415</v>
      </c>
      <c r="X1120" s="87"/>
      <c r="Y1120" s="87"/>
      <c r="Z1120" s="87"/>
      <c r="AA1120" s="87"/>
      <c r="AB1120" s="87"/>
      <c r="AC1120" s="90" t="str">
        <f t="shared" si="138"/>
        <v>Centro Histórico</v>
      </c>
      <c r="AD1120" s="87" t="s">
        <v>488</v>
      </c>
      <c r="AE1120" s="87"/>
      <c r="AF1120" s="87"/>
      <c r="AG1120" s="87"/>
      <c r="AH1120" s="87"/>
      <c r="AI1120" s="87"/>
      <c r="AJ1120" s="87"/>
      <c r="AK1120" s="87"/>
      <c r="AL1120" s="87"/>
      <c r="AM1120" s="87"/>
      <c r="AN1120" s="90" t="s">
        <v>80</v>
      </c>
      <c r="AO1120" s="90" t="s">
        <v>5017</v>
      </c>
      <c r="AP1120" s="82"/>
      <c r="AQ1120" s="87" t="s">
        <v>59</v>
      </c>
      <c r="AR1120" s="87" t="s">
        <v>80</v>
      </c>
      <c r="AS1120" s="82"/>
      <c r="AT1120" s="87">
        <v>4</v>
      </c>
      <c r="AU1120" s="87">
        <v>4</v>
      </c>
      <c r="AV1120" s="87">
        <f t="shared" ref="AV1120:AV1124" si="264">AT1120+AU1120</f>
        <v>8</v>
      </c>
      <c r="AW1120" s="87" t="str">
        <f t="shared" si="260"/>
        <v/>
      </c>
      <c r="AX1120" s="87"/>
      <c r="AY1120" s="87"/>
      <c r="AZ1120" s="87"/>
      <c r="BA1120" s="91" t="s">
        <v>5018</v>
      </c>
      <c r="BB1120" s="84"/>
      <c r="BC1120" s="85"/>
      <c r="BD1120" s="85"/>
    </row>
    <row r="1121" spans="1:116" s="86" customFormat="1" ht="40.5" customHeight="1">
      <c r="A1121" s="87">
        <v>1116</v>
      </c>
      <c r="B1121" s="90" t="s">
        <v>5019</v>
      </c>
      <c r="C1121" s="88">
        <v>45580</v>
      </c>
      <c r="D1121" s="89">
        <v>0.41666666666666669</v>
      </c>
      <c r="E1121" s="87" t="s">
        <v>58</v>
      </c>
      <c r="F1121" s="87" t="s">
        <v>1437</v>
      </c>
      <c r="G1121" s="87" t="s">
        <v>95</v>
      </c>
      <c r="H1121" s="90" t="s">
        <v>5020</v>
      </c>
      <c r="I1121" s="90" t="s">
        <v>118</v>
      </c>
      <c r="J1121" s="87" t="s">
        <v>173</v>
      </c>
      <c r="K1121" s="87"/>
      <c r="L1121" s="90" t="s">
        <v>80</v>
      </c>
      <c r="M1121" s="91" t="s">
        <v>80</v>
      </c>
      <c r="N1121" s="90" t="s">
        <v>80</v>
      </c>
      <c r="O1121" s="90" t="str">
        <f t="shared" ref="O1121:O1127" si="265">_xlfn.TEXTJOIN(", ",TRUE,$P1121:$T1121)</f>
        <v>Distrital</v>
      </c>
      <c r="P1121" s="87" t="s">
        <v>73</v>
      </c>
      <c r="Q1121" s="87"/>
      <c r="R1121" s="87"/>
      <c r="S1121" s="87"/>
      <c r="T1121" s="87"/>
      <c r="U1121" s="87"/>
      <c r="V1121" s="90" t="str">
        <f t="shared" ref="V1121:V1127" si="266">_xlfn.TEXTJOIN(", ",TRUE,$W1121:$AB1121)</f>
        <v>Distrital</v>
      </c>
      <c r="W1121" s="87" t="s">
        <v>73</v>
      </c>
      <c r="X1121" s="87"/>
      <c r="Y1121" s="87"/>
      <c r="Z1121" s="87"/>
      <c r="AA1121" s="87"/>
      <c r="AB1121" s="87"/>
      <c r="AC1121" s="90" t="str">
        <f t="shared" ref="AC1121:AC1127" si="267">_xlfn.TEXTJOIN(", ",TRUE,$AD1121:$AM1121)</f>
        <v>Distrital</v>
      </c>
      <c r="AD1121" s="87" t="s">
        <v>73</v>
      </c>
      <c r="AE1121" s="87"/>
      <c r="AF1121" s="87"/>
      <c r="AG1121" s="87"/>
      <c r="AH1121" s="87"/>
      <c r="AI1121" s="87"/>
      <c r="AJ1121" s="87"/>
      <c r="AK1121" s="87"/>
      <c r="AL1121" s="87"/>
      <c r="AM1121" s="87"/>
      <c r="AN1121" s="90" t="s">
        <v>80</v>
      </c>
      <c r="AO1121" s="102" t="s">
        <v>2667</v>
      </c>
      <c r="AP1121" s="82"/>
      <c r="AQ1121" s="87" t="s">
        <v>59</v>
      </c>
      <c r="AR1121" s="87" t="s">
        <v>80</v>
      </c>
      <c r="AS1121" s="82"/>
      <c r="AT1121" s="87">
        <v>4</v>
      </c>
      <c r="AU1121" s="87">
        <v>5</v>
      </c>
      <c r="AV1121" s="87">
        <f>AT1121+AU1121</f>
        <v>9</v>
      </c>
      <c r="AW1121" s="87"/>
      <c r="AX1121" s="87"/>
      <c r="AY1121" s="87"/>
      <c r="AZ1121" s="87"/>
      <c r="BA1121" s="91" t="s">
        <v>5021</v>
      </c>
      <c r="BB1121" s="84"/>
      <c r="BC1121" s="85"/>
      <c r="BD1121" s="85"/>
    </row>
    <row r="1122" spans="1:116" s="86" customFormat="1" ht="40.5" customHeight="1">
      <c r="A1122" s="78">
        <v>1117</v>
      </c>
      <c r="B1122" s="90" t="s">
        <v>5022</v>
      </c>
      <c r="C1122" s="88">
        <v>45580</v>
      </c>
      <c r="D1122" s="89">
        <v>0.58333333333333337</v>
      </c>
      <c r="E1122" s="87" t="s">
        <v>58</v>
      </c>
      <c r="F1122" s="87" t="s">
        <v>2121</v>
      </c>
      <c r="G1122" s="87" t="s">
        <v>95</v>
      </c>
      <c r="H1122" s="90" t="s">
        <v>5023</v>
      </c>
      <c r="I1122" s="90" t="s">
        <v>118</v>
      </c>
      <c r="J1122" s="87" t="s">
        <v>70</v>
      </c>
      <c r="K1122" s="87" t="s">
        <v>71</v>
      </c>
      <c r="L1122" s="90" t="s">
        <v>5024</v>
      </c>
      <c r="M1122" s="91" t="s">
        <v>5025</v>
      </c>
      <c r="N1122" s="90" t="s">
        <v>5026</v>
      </c>
      <c r="O1122" s="90" t="str">
        <f t="shared" si="265"/>
        <v>Distrital</v>
      </c>
      <c r="P1122" s="87" t="s">
        <v>73</v>
      </c>
      <c r="Q1122" s="87"/>
      <c r="R1122" s="87"/>
      <c r="S1122" s="87"/>
      <c r="T1122" s="87"/>
      <c r="U1122" s="87"/>
      <c r="V1122" s="90" t="str">
        <f t="shared" si="266"/>
        <v>Distrital</v>
      </c>
      <c r="W1122" s="87" t="s">
        <v>73</v>
      </c>
      <c r="X1122" s="87"/>
      <c r="Y1122" s="87"/>
      <c r="Z1122" s="87"/>
      <c r="AA1122" s="87"/>
      <c r="AB1122" s="87"/>
      <c r="AC1122" s="90" t="str">
        <f t="shared" si="267"/>
        <v>Distrital</v>
      </c>
      <c r="AD1122" s="87" t="s">
        <v>73</v>
      </c>
      <c r="AE1122" s="87"/>
      <c r="AF1122" s="87"/>
      <c r="AG1122" s="87"/>
      <c r="AH1122" s="87"/>
      <c r="AI1122" s="87"/>
      <c r="AJ1122" s="87"/>
      <c r="AK1122" s="87"/>
      <c r="AL1122" s="87"/>
      <c r="AM1122" s="87"/>
      <c r="AN1122" s="90" t="s">
        <v>5027</v>
      </c>
      <c r="AO1122" s="102" t="s">
        <v>2667</v>
      </c>
      <c r="AP1122" s="82"/>
      <c r="AQ1122" s="87" t="s">
        <v>59</v>
      </c>
      <c r="AR1122" s="87" t="s">
        <v>80</v>
      </c>
      <c r="AS1122" s="82"/>
      <c r="AT1122" s="87">
        <v>3</v>
      </c>
      <c r="AU1122" s="87">
        <v>2</v>
      </c>
      <c r="AV1122" s="87">
        <f t="shared" si="264"/>
        <v>5</v>
      </c>
      <c r="AW1122" s="87" t="str">
        <f t="shared" si="260"/>
        <v>Ninguna</v>
      </c>
      <c r="AX1122" s="87" t="s">
        <v>75</v>
      </c>
      <c r="AY1122" s="87"/>
      <c r="AZ1122" s="87"/>
      <c r="BA1122" s="91" t="s">
        <v>5028</v>
      </c>
      <c r="BB1122" s="84"/>
      <c r="BC1122" s="85"/>
      <c r="BD1122" s="85"/>
    </row>
    <row r="1123" spans="1:116" s="86" customFormat="1" ht="40.5" customHeight="1">
      <c r="A1123" s="87">
        <v>1118</v>
      </c>
      <c r="B1123" s="90" t="s">
        <v>5029</v>
      </c>
      <c r="C1123" s="88">
        <v>45580</v>
      </c>
      <c r="D1123" s="89">
        <v>0.625</v>
      </c>
      <c r="E1123" s="87" t="s">
        <v>93</v>
      </c>
      <c r="F1123" s="87" t="s">
        <v>102</v>
      </c>
      <c r="G1123" s="87" t="s">
        <v>95</v>
      </c>
      <c r="H1123" s="90" t="s">
        <v>5030</v>
      </c>
      <c r="I1123" s="90" t="s">
        <v>118</v>
      </c>
      <c r="J1123" s="87" t="s">
        <v>173</v>
      </c>
      <c r="K1123" s="87"/>
      <c r="L1123" s="90" t="s">
        <v>5031</v>
      </c>
      <c r="M1123" s="91" t="s">
        <v>5032</v>
      </c>
      <c r="N1123" s="90" t="s">
        <v>5033</v>
      </c>
      <c r="O1123" s="90" t="str">
        <f t="shared" si="265"/>
        <v>Distrital</v>
      </c>
      <c r="P1123" s="87" t="s">
        <v>73</v>
      </c>
      <c r="Q1123" s="87"/>
      <c r="R1123" s="87"/>
      <c r="S1123" s="87"/>
      <c r="T1123" s="87"/>
      <c r="U1123" s="87"/>
      <c r="V1123" s="90" t="str">
        <f t="shared" si="266"/>
        <v>Distrital</v>
      </c>
      <c r="W1123" s="87" t="s">
        <v>73</v>
      </c>
      <c r="X1123" s="87"/>
      <c r="Y1123" s="87"/>
      <c r="Z1123" s="87"/>
      <c r="AA1123" s="87"/>
      <c r="AB1123" s="87"/>
      <c r="AC1123" s="90" t="str">
        <f t="shared" si="267"/>
        <v>Distrital</v>
      </c>
      <c r="AD1123" s="87" t="s">
        <v>73</v>
      </c>
      <c r="AE1123" s="87"/>
      <c r="AF1123" s="87"/>
      <c r="AG1123" s="87"/>
      <c r="AH1123" s="87"/>
      <c r="AI1123" s="87"/>
      <c r="AJ1123" s="87"/>
      <c r="AK1123" s="87"/>
      <c r="AL1123" s="87"/>
      <c r="AM1123" s="87"/>
      <c r="AN1123" s="90" t="s">
        <v>80</v>
      </c>
      <c r="AO1123" s="102" t="s">
        <v>2667</v>
      </c>
      <c r="AP1123" s="82"/>
      <c r="AQ1123" s="87" t="s">
        <v>59</v>
      </c>
      <c r="AR1123" s="87" t="s">
        <v>80</v>
      </c>
      <c r="AS1123" s="82"/>
      <c r="AT1123" s="87">
        <v>6</v>
      </c>
      <c r="AU1123" s="87">
        <v>1</v>
      </c>
      <c r="AV1123" s="87">
        <f>AT1123+AU1123</f>
        <v>7</v>
      </c>
      <c r="AW1123" s="87" t="str">
        <f t="shared" si="260"/>
        <v/>
      </c>
      <c r="AX1123" s="87"/>
      <c r="AY1123" s="87"/>
      <c r="AZ1123" s="87"/>
      <c r="BA1123" s="91" t="s">
        <v>5034</v>
      </c>
      <c r="BB1123" s="84"/>
      <c r="BC1123" s="85"/>
      <c r="BD1123" s="85"/>
    </row>
    <row r="1124" spans="1:116" s="86" customFormat="1" ht="40.5" customHeight="1">
      <c r="A1124" s="78">
        <v>1119</v>
      </c>
      <c r="B1124" s="90" t="s">
        <v>5035</v>
      </c>
      <c r="C1124" s="88">
        <v>45580</v>
      </c>
      <c r="D1124" s="89">
        <v>0.64583333333333337</v>
      </c>
      <c r="E1124" s="87" t="s">
        <v>58</v>
      </c>
      <c r="F1124" s="87" t="s">
        <v>5036</v>
      </c>
      <c r="G1124" s="87" t="s">
        <v>95</v>
      </c>
      <c r="H1124" s="90" t="s">
        <v>5037</v>
      </c>
      <c r="I1124" s="90" t="s">
        <v>118</v>
      </c>
      <c r="J1124" s="87" t="s">
        <v>70</v>
      </c>
      <c r="K1124" s="87" t="s">
        <v>71</v>
      </c>
      <c r="L1124" s="90" t="s">
        <v>5038</v>
      </c>
      <c r="M1124" s="91">
        <v>3118037511</v>
      </c>
      <c r="N1124" s="90" t="s">
        <v>5039</v>
      </c>
      <c r="O1124" s="90" t="str">
        <f t="shared" si="265"/>
        <v>Distrital</v>
      </c>
      <c r="P1124" s="87" t="s">
        <v>73</v>
      </c>
      <c r="Q1124" s="87"/>
      <c r="R1124" s="87"/>
      <c r="S1124" s="87"/>
      <c r="T1124" s="87"/>
      <c r="U1124" s="87"/>
      <c r="V1124" s="90" t="str">
        <f t="shared" si="266"/>
        <v>Distrital</v>
      </c>
      <c r="W1124" s="87" t="s">
        <v>73</v>
      </c>
      <c r="X1124" s="87"/>
      <c r="Y1124" s="87"/>
      <c r="Z1124" s="87"/>
      <c r="AA1124" s="87"/>
      <c r="AB1124" s="87"/>
      <c r="AC1124" s="90" t="str">
        <f t="shared" si="267"/>
        <v>Distrital</v>
      </c>
      <c r="AD1124" s="87" t="s">
        <v>73</v>
      </c>
      <c r="AE1124" s="87"/>
      <c r="AF1124" s="87"/>
      <c r="AG1124" s="87"/>
      <c r="AH1124" s="87"/>
      <c r="AI1124" s="87"/>
      <c r="AJ1124" s="87"/>
      <c r="AK1124" s="87"/>
      <c r="AL1124" s="87"/>
      <c r="AM1124" s="87"/>
      <c r="AN1124" s="90" t="s">
        <v>80</v>
      </c>
      <c r="AO1124" s="102" t="s">
        <v>2667</v>
      </c>
      <c r="AP1124" s="82"/>
      <c r="AQ1124" s="87" t="s">
        <v>59</v>
      </c>
      <c r="AR1124" s="87" t="s">
        <v>80</v>
      </c>
      <c r="AS1124" s="82"/>
      <c r="AT1124" s="87">
        <v>0</v>
      </c>
      <c r="AU1124" s="87">
        <v>8</v>
      </c>
      <c r="AV1124" s="87">
        <f t="shared" si="264"/>
        <v>8</v>
      </c>
      <c r="AW1124" s="87" t="str">
        <f t="shared" si="260"/>
        <v>Horarios Acordes</v>
      </c>
      <c r="AX1124" s="87" t="s">
        <v>213</v>
      </c>
      <c r="AY1124" s="87"/>
      <c r="AZ1124" s="87"/>
      <c r="BA1124" s="91" t="s">
        <v>5040</v>
      </c>
      <c r="BB1124" s="84"/>
      <c r="BC1124" s="85"/>
      <c r="BD1124" s="85"/>
    </row>
    <row r="1125" spans="1:116" s="86" customFormat="1" ht="40.5" customHeight="1">
      <c r="A1125" s="87">
        <v>1120</v>
      </c>
      <c r="B1125" s="90" t="s">
        <v>5041</v>
      </c>
      <c r="C1125" s="88">
        <v>45580</v>
      </c>
      <c r="D1125" s="89">
        <v>0.66666666666666663</v>
      </c>
      <c r="E1125" s="87" t="s">
        <v>93</v>
      </c>
      <c r="F1125" s="87" t="s">
        <v>102</v>
      </c>
      <c r="G1125" s="87" t="s">
        <v>95</v>
      </c>
      <c r="H1125" s="90" t="s">
        <v>5042</v>
      </c>
      <c r="I1125" s="90" t="s">
        <v>118</v>
      </c>
      <c r="J1125" s="87" t="s">
        <v>119</v>
      </c>
      <c r="K1125" s="87" t="s">
        <v>129</v>
      </c>
      <c r="L1125" s="90" t="s">
        <v>5043</v>
      </c>
      <c r="M1125" s="91" t="s">
        <v>5044</v>
      </c>
      <c r="N1125" s="90" t="s">
        <v>5045</v>
      </c>
      <c r="O1125" s="90" t="str">
        <f t="shared" si="265"/>
        <v>Distrital</v>
      </c>
      <c r="P1125" s="87" t="s">
        <v>73</v>
      </c>
      <c r="Q1125" s="87"/>
      <c r="R1125" s="87"/>
      <c r="S1125" s="87"/>
      <c r="T1125" s="87"/>
      <c r="U1125" s="87"/>
      <c r="V1125" s="90" t="str">
        <f t="shared" si="266"/>
        <v>Distrital</v>
      </c>
      <c r="W1125" s="87" t="s">
        <v>73</v>
      </c>
      <c r="X1125" s="87"/>
      <c r="Y1125" s="87"/>
      <c r="Z1125" s="87"/>
      <c r="AA1125" s="87"/>
      <c r="AB1125" s="87"/>
      <c r="AC1125" s="90" t="str">
        <f t="shared" si="267"/>
        <v>Distrital</v>
      </c>
      <c r="AD1125" s="87" t="s">
        <v>73</v>
      </c>
      <c r="AE1125" s="87"/>
      <c r="AF1125" s="87"/>
      <c r="AG1125" s="87"/>
      <c r="AH1125" s="87"/>
      <c r="AI1125" s="87"/>
      <c r="AJ1125" s="87"/>
      <c r="AK1125" s="87"/>
      <c r="AL1125" s="87"/>
      <c r="AM1125" s="87"/>
      <c r="AN1125" s="90" t="s">
        <v>80</v>
      </c>
      <c r="AO1125" s="102" t="s">
        <v>2667</v>
      </c>
      <c r="AP1125" s="82"/>
      <c r="AQ1125" s="87" t="s">
        <v>59</v>
      </c>
      <c r="AR1125" s="87" t="s">
        <v>80</v>
      </c>
      <c r="AS1125" s="82"/>
      <c r="AT1125" s="87">
        <v>4</v>
      </c>
      <c r="AU1125" s="87">
        <v>1</v>
      </c>
      <c r="AV1125" s="87">
        <f>AT1125+AU1125</f>
        <v>5</v>
      </c>
      <c r="AW1125" s="87" t="str">
        <f t="shared" si="260"/>
        <v/>
      </c>
      <c r="AX1125" s="87"/>
      <c r="AY1125" s="87"/>
      <c r="AZ1125" s="87"/>
      <c r="BA1125" s="91" t="s">
        <v>5046</v>
      </c>
      <c r="BB1125" s="84"/>
      <c r="BC1125" s="85"/>
      <c r="BD1125" s="85"/>
    </row>
    <row r="1126" spans="1:116" s="86" customFormat="1" ht="40.5" customHeight="1">
      <c r="A1126" s="78">
        <v>1121</v>
      </c>
      <c r="B1126" s="90" t="s">
        <v>5047</v>
      </c>
      <c r="C1126" s="88">
        <v>45580</v>
      </c>
      <c r="D1126" s="89">
        <v>0.66666666666666663</v>
      </c>
      <c r="E1126" s="87" t="s">
        <v>93</v>
      </c>
      <c r="F1126" s="87" t="s">
        <v>102</v>
      </c>
      <c r="G1126" s="87" t="s">
        <v>95</v>
      </c>
      <c r="H1126" s="90" t="s">
        <v>4949</v>
      </c>
      <c r="I1126" s="90" t="s">
        <v>118</v>
      </c>
      <c r="J1126" s="87" t="s">
        <v>119</v>
      </c>
      <c r="K1126" s="87" t="s">
        <v>129</v>
      </c>
      <c r="L1126" s="90" t="s">
        <v>4704</v>
      </c>
      <c r="M1126" s="91" t="s">
        <v>3950</v>
      </c>
      <c r="N1126" s="90" t="s">
        <v>736</v>
      </c>
      <c r="O1126" s="90" t="str">
        <f t="shared" si="265"/>
        <v>Distrital</v>
      </c>
      <c r="P1126" s="87" t="s">
        <v>73</v>
      </c>
      <c r="Q1126" s="87"/>
      <c r="R1126" s="87"/>
      <c r="S1126" s="87"/>
      <c r="T1126" s="87"/>
      <c r="U1126" s="87"/>
      <c r="V1126" s="90" t="str">
        <f t="shared" si="266"/>
        <v>Distrital</v>
      </c>
      <c r="W1126" s="87" t="s">
        <v>73</v>
      </c>
      <c r="X1126" s="87"/>
      <c r="Y1126" s="87"/>
      <c r="Z1126" s="87"/>
      <c r="AA1126" s="87"/>
      <c r="AB1126" s="87"/>
      <c r="AC1126" s="90" t="str">
        <f t="shared" si="267"/>
        <v>Distrital</v>
      </c>
      <c r="AD1126" s="87" t="s">
        <v>73</v>
      </c>
      <c r="AE1126" s="87"/>
      <c r="AF1126" s="87"/>
      <c r="AG1126" s="87"/>
      <c r="AH1126" s="87"/>
      <c r="AI1126" s="87"/>
      <c r="AJ1126" s="87"/>
      <c r="AK1126" s="87"/>
      <c r="AL1126" s="87"/>
      <c r="AM1126" s="87"/>
      <c r="AN1126" s="90" t="s">
        <v>80</v>
      </c>
      <c r="AO1126" s="102" t="s">
        <v>2667</v>
      </c>
      <c r="AP1126" s="82"/>
      <c r="AQ1126" s="87" t="s">
        <v>59</v>
      </c>
      <c r="AR1126" s="87" t="s">
        <v>80</v>
      </c>
      <c r="AS1126" s="82"/>
      <c r="AT1126" s="87">
        <v>9</v>
      </c>
      <c r="AU1126" s="87">
        <v>4</v>
      </c>
      <c r="AV1126" s="87">
        <f>AT1126+AU1126</f>
        <v>13</v>
      </c>
      <c r="AW1126" s="87" t="s">
        <v>184</v>
      </c>
      <c r="AX1126" s="87"/>
      <c r="AY1126" s="87"/>
      <c r="AZ1126" s="87"/>
      <c r="BA1126" s="91" t="s">
        <v>5048</v>
      </c>
      <c r="BB1126" s="84"/>
      <c r="BC1126" s="85"/>
      <c r="BD1126" s="85"/>
    </row>
    <row r="1127" spans="1:116" s="86" customFormat="1" ht="40.5" customHeight="1">
      <c r="A1127" s="87">
        <v>1122</v>
      </c>
      <c r="B1127" s="90" t="s">
        <v>5049</v>
      </c>
      <c r="C1127" s="88">
        <v>45581</v>
      </c>
      <c r="D1127" s="89">
        <v>0.33333333333333331</v>
      </c>
      <c r="E1127" s="87" t="s">
        <v>58</v>
      </c>
      <c r="F1127" s="87" t="s">
        <v>1437</v>
      </c>
      <c r="G1127" s="87" t="s">
        <v>62</v>
      </c>
      <c r="H1127" s="90" t="s">
        <v>5050</v>
      </c>
      <c r="I1127" s="90" t="s">
        <v>118</v>
      </c>
      <c r="J1127" s="87" t="s">
        <v>816</v>
      </c>
      <c r="K1127" s="87"/>
      <c r="L1127" s="90" t="s">
        <v>1317</v>
      </c>
      <c r="M1127" s="90" t="s">
        <v>1317</v>
      </c>
      <c r="N1127" s="90" t="s">
        <v>1317</v>
      </c>
      <c r="O1127" s="90" t="str">
        <f t="shared" si="265"/>
        <v>Chapinero</v>
      </c>
      <c r="P1127" s="87" t="s">
        <v>221</v>
      </c>
      <c r="Q1127" s="87"/>
      <c r="R1127" s="87"/>
      <c r="S1127" s="87"/>
      <c r="T1127" s="87"/>
      <c r="U1127" s="87"/>
      <c r="V1127" s="90" t="str">
        <f t="shared" si="266"/>
        <v>Ruralidad</v>
      </c>
      <c r="W1127" s="87" t="s">
        <v>109</v>
      </c>
      <c r="X1127" s="87"/>
      <c r="Y1127" s="87"/>
      <c r="Z1127" s="87"/>
      <c r="AA1127" s="87"/>
      <c r="AB1127" s="87"/>
      <c r="AC1127" s="90" t="str">
        <f t="shared" si="267"/>
        <v>Cerros Orientales</v>
      </c>
      <c r="AD1127" s="87" t="s">
        <v>222</v>
      </c>
      <c r="AE1127" s="87"/>
      <c r="AF1127" s="87"/>
      <c r="AG1127" s="87"/>
      <c r="AH1127" s="87"/>
      <c r="AI1127" s="87"/>
      <c r="AJ1127" s="87"/>
      <c r="AK1127" s="87"/>
      <c r="AL1127" s="87"/>
      <c r="AM1127" s="87"/>
      <c r="AN1127" s="90" t="s">
        <v>5051</v>
      </c>
      <c r="AO1127" s="109" t="s">
        <v>5052</v>
      </c>
      <c r="AP1127" s="82"/>
      <c r="AQ1127" s="87" t="s">
        <v>59</v>
      </c>
      <c r="AR1127" s="87" t="s">
        <v>80</v>
      </c>
      <c r="AS1127" s="82"/>
      <c r="AT1127" s="87">
        <v>2</v>
      </c>
      <c r="AU1127" s="87">
        <v>2</v>
      </c>
      <c r="AV1127" s="87">
        <f>AT1127+AU1127</f>
        <v>4</v>
      </c>
      <c r="AW1127" s="87" t="s">
        <v>184</v>
      </c>
      <c r="AX1127" s="87" t="s">
        <v>213</v>
      </c>
      <c r="AY1127" s="87"/>
      <c r="AZ1127" s="87"/>
      <c r="BA1127" s="91" t="s">
        <v>5053</v>
      </c>
      <c r="BB1127" s="84"/>
      <c r="BC1127" s="85"/>
      <c r="BD1127" s="85"/>
    </row>
    <row r="1128" spans="1:116" s="86" customFormat="1" ht="59.25" customHeight="1">
      <c r="A1128" s="78">
        <v>1123</v>
      </c>
      <c r="B1128" s="79" t="s">
        <v>5054</v>
      </c>
      <c r="C1128" s="88">
        <v>45581</v>
      </c>
      <c r="D1128" s="89">
        <v>0.375</v>
      </c>
      <c r="E1128" s="87" t="s">
        <v>58</v>
      </c>
      <c r="F1128" s="87" t="s">
        <v>61</v>
      </c>
      <c r="G1128" s="87" t="s">
        <v>62</v>
      </c>
      <c r="H1128" s="90" t="s">
        <v>5055</v>
      </c>
      <c r="I1128" s="90" t="s">
        <v>128</v>
      </c>
      <c r="J1128" s="87" t="s">
        <v>3798</v>
      </c>
      <c r="K1128" s="87" t="s">
        <v>5056</v>
      </c>
      <c r="L1128" s="90" t="s">
        <v>3799</v>
      </c>
      <c r="M1128" s="90" t="s">
        <v>3800</v>
      </c>
      <c r="N1128" s="90" t="s">
        <v>3801</v>
      </c>
      <c r="O1128" s="90" t="str">
        <f t="shared" si="133"/>
        <v>Distrital</v>
      </c>
      <c r="P1128" s="87" t="s">
        <v>73</v>
      </c>
      <c r="Q1128" s="87"/>
      <c r="R1128" s="87"/>
      <c r="S1128" s="87"/>
      <c r="T1128" s="87"/>
      <c r="U1128" s="87"/>
      <c r="V1128" s="90" t="str">
        <f t="shared" si="137"/>
        <v>Distrital</v>
      </c>
      <c r="W1128" s="87" t="s">
        <v>73</v>
      </c>
      <c r="X1128" s="87"/>
      <c r="Y1128" s="87"/>
      <c r="Z1128" s="87"/>
      <c r="AA1128" s="87"/>
      <c r="AB1128" s="87"/>
      <c r="AC1128" s="90" t="str">
        <f t="shared" si="138"/>
        <v>Distrital</v>
      </c>
      <c r="AD1128" s="87" t="s">
        <v>73</v>
      </c>
      <c r="AE1128" s="87"/>
      <c r="AF1128" s="87"/>
      <c r="AG1128" s="87"/>
      <c r="AH1128" s="87"/>
      <c r="AI1128" s="87"/>
      <c r="AJ1128" s="87"/>
      <c r="AK1128" s="87"/>
      <c r="AL1128" s="87"/>
      <c r="AM1128" s="87"/>
      <c r="AN1128" s="90" t="s">
        <v>80</v>
      </c>
      <c r="AO1128" s="102" t="s">
        <v>5057</v>
      </c>
      <c r="AP1128" s="82"/>
      <c r="AQ1128" s="87" t="s">
        <v>60</v>
      </c>
      <c r="AR1128" s="87" t="s">
        <v>2854</v>
      </c>
      <c r="AS1128" s="82"/>
      <c r="AT1128" s="87">
        <v>25</v>
      </c>
      <c r="AU1128" s="87">
        <v>7</v>
      </c>
      <c r="AV1128" s="87">
        <f t="shared" ref="AV1128" si="268">AT1128+AU1128</f>
        <v>32</v>
      </c>
      <c r="AW1128" s="87" t="str">
        <f t="shared" si="260"/>
        <v>Horarios Acordes</v>
      </c>
      <c r="AX1128" s="87" t="s">
        <v>213</v>
      </c>
      <c r="AY1128" s="87"/>
      <c r="AZ1128" s="87"/>
      <c r="BA1128" s="91" t="s">
        <v>5058</v>
      </c>
      <c r="BB1128" s="84"/>
      <c r="BC1128" s="85"/>
      <c r="BD1128" s="85"/>
      <c r="BE1128" s="87"/>
      <c r="BF1128" s="79"/>
      <c r="BG1128" s="88"/>
      <c r="BH1128" s="89"/>
      <c r="BI1128" s="87"/>
      <c r="BJ1128" s="87"/>
      <c r="BK1128" s="87"/>
      <c r="BL1128" s="87"/>
      <c r="BM1128" s="87"/>
      <c r="BN1128" s="87"/>
      <c r="BO1128" s="87"/>
      <c r="BP1128" s="90"/>
      <c r="BQ1128" s="90"/>
      <c r="BR1128" s="87"/>
      <c r="BS1128" s="90"/>
      <c r="BT1128" s="87"/>
      <c r="BU1128" s="87"/>
      <c r="BV1128" s="87"/>
      <c r="BW1128" s="87"/>
      <c r="BX1128" s="87"/>
      <c r="BY1128" s="87"/>
      <c r="BZ1128" s="87"/>
      <c r="CA1128" s="87"/>
      <c r="CB1128" s="87"/>
      <c r="CC1128" s="87"/>
      <c r="CD1128" s="87"/>
      <c r="CE1128" s="87"/>
      <c r="CH1128" s="87"/>
      <c r="CI1128" s="87"/>
      <c r="CJ1128" s="87"/>
      <c r="CK1128" s="87"/>
      <c r="CL1128" s="87"/>
      <c r="CM1128" s="87"/>
      <c r="CN1128" s="87"/>
      <c r="CO1128" s="87"/>
      <c r="CP1128" s="87"/>
      <c r="CQ1128" s="87"/>
      <c r="CR1128" s="87"/>
      <c r="CS1128" s="87"/>
      <c r="CT1128" s="87"/>
      <c r="CU1128" s="87"/>
      <c r="CV1128" s="87"/>
      <c r="CW1128" s="87"/>
      <c r="CX1128" s="87"/>
      <c r="CY1128" s="87"/>
      <c r="CZ1128" s="87"/>
      <c r="DA1128" s="87"/>
      <c r="DB1128" s="87"/>
      <c r="DC1128" s="87"/>
      <c r="DD1128" s="87"/>
      <c r="DE1128" s="87"/>
      <c r="DF1128" s="87"/>
      <c r="DG1128" s="87"/>
      <c r="DH1128" s="87"/>
      <c r="DI1128" s="87"/>
      <c r="DJ1128" s="90"/>
      <c r="DK1128" s="90"/>
      <c r="DL1128" s="90"/>
    </row>
    <row r="1129" spans="1:116" s="86" customFormat="1" ht="59.25" customHeight="1">
      <c r="A1129" s="87">
        <v>1124</v>
      </c>
      <c r="B1129" s="79" t="s">
        <v>5059</v>
      </c>
      <c r="C1129" s="88">
        <v>45581</v>
      </c>
      <c r="D1129" s="89">
        <v>0.375</v>
      </c>
      <c r="E1129" s="87" t="s">
        <v>58</v>
      </c>
      <c r="F1129" s="87" t="s">
        <v>1184</v>
      </c>
      <c r="G1129" s="87" t="s">
        <v>62</v>
      </c>
      <c r="H1129" s="90" t="s">
        <v>5060</v>
      </c>
      <c r="I1129" s="90" t="s">
        <v>118</v>
      </c>
      <c r="J1129" s="87" t="s">
        <v>70</v>
      </c>
      <c r="K1129" s="87" t="s">
        <v>71</v>
      </c>
      <c r="L1129" s="90" t="s">
        <v>4986</v>
      </c>
      <c r="M1129" s="91" t="s">
        <v>4987</v>
      </c>
      <c r="N1129" s="90" t="s">
        <v>4988</v>
      </c>
      <c r="O1129" s="90" t="str">
        <f t="shared" ref="O1129:O1141" si="269">_xlfn.TEXTJOIN(", ",TRUE,$P1129:$T1129)</f>
        <v>Los Mártires</v>
      </c>
      <c r="P1129" s="87" t="s">
        <v>542</v>
      </c>
      <c r="Q1129" s="87"/>
      <c r="R1129" s="87"/>
      <c r="S1129" s="87"/>
      <c r="T1129" s="87"/>
      <c r="U1129" s="87"/>
      <c r="V1129" s="90" t="str">
        <f t="shared" ref="V1129:V1141" si="270">_xlfn.TEXTJOIN(", ",TRUE,$W1129:$AB1129)</f>
        <v>Centro Ampliado</v>
      </c>
      <c r="W1129" s="87" t="s">
        <v>415</v>
      </c>
      <c r="X1129" s="87"/>
      <c r="Y1129" s="87"/>
      <c r="Z1129" s="87"/>
      <c r="AA1129" s="87"/>
      <c r="AB1129" s="87"/>
      <c r="AC1129" s="90" t="str">
        <f t="shared" ref="AC1129:AC1141" si="271">_xlfn.TEXTJOIN(", ",TRUE,$AD1129:$AM1129)</f>
        <v>Centro Histórico</v>
      </c>
      <c r="AD1129" s="87" t="s">
        <v>488</v>
      </c>
      <c r="AE1129" s="87"/>
      <c r="AF1129" s="87"/>
      <c r="AG1129" s="87"/>
      <c r="AH1129" s="87"/>
      <c r="AI1129" s="87"/>
      <c r="AJ1129" s="87"/>
      <c r="AK1129" s="87"/>
      <c r="AL1129" s="87"/>
      <c r="AM1129" s="87"/>
      <c r="AN1129" s="90" t="s">
        <v>5061</v>
      </c>
      <c r="AO1129" s="90" t="s">
        <v>5062</v>
      </c>
      <c r="AP1129" s="82"/>
      <c r="AQ1129" s="87" t="s">
        <v>59</v>
      </c>
      <c r="AR1129" s="87" t="s">
        <v>80</v>
      </c>
      <c r="AS1129" s="82"/>
      <c r="AT1129" s="87">
        <v>5</v>
      </c>
      <c r="AU1129" s="87">
        <v>3</v>
      </c>
      <c r="AV1129" s="87">
        <f>AT1129+AU1129</f>
        <v>8</v>
      </c>
      <c r="AW1129" s="87" t="s">
        <v>184</v>
      </c>
      <c r="AX1129" s="87"/>
      <c r="AY1129" s="87"/>
      <c r="AZ1129" s="87"/>
      <c r="BA1129" s="91" t="s">
        <v>5063</v>
      </c>
      <c r="BB1129" s="84"/>
      <c r="BC1129" s="85"/>
      <c r="BD1129" s="85"/>
    </row>
    <row r="1130" spans="1:116" s="86" customFormat="1" ht="48" customHeight="1">
      <c r="A1130" s="78">
        <v>1125</v>
      </c>
      <c r="B1130" s="79" t="s">
        <v>5064</v>
      </c>
      <c r="C1130" s="88">
        <v>45581</v>
      </c>
      <c r="D1130" s="89">
        <v>0.39583333333333331</v>
      </c>
      <c r="E1130" s="87" t="s">
        <v>58</v>
      </c>
      <c r="F1130" s="87" t="s">
        <v>1750</v>
      </c>
      <c r="G1130" s="87" t="s">
        <v>62</v>
      </c>
      <c r="H1130" s="90" t="s">
        <v>5065</v>
      </c>
      <c r="I1130" s="90" t="s">
        <v>118</v>
      </c>
      <c r="J1130" s="87" t="s">
        <v>70</v>
      </c>
      <c r="K1130" s="87" t="s">
        <v>71</v>
      </c>
      <c r="L1130" s="90" t="s">
        <v>1316</v>
      </c>
      <c r="M1130" s="91" t="s">
        <v>1316</v>
      </c>
      <c r="N1130" s="90" t="s">
        <v>3870</v>
      </c>
      <c r="O1130" s="90" t="str">
        <f t="shared" si="269"/>
        <v>Distrital</v>
      </c>
      <c r="P1130" s="87" t="s">
        <v>73</v>
      </c>
      <c r="Q1130" s="87"/>
      <c r="R1130" s="87"/>
      <c r="S1130" s="87"/>
      <c r="T1130" s="87"/>
      <c r="U1130" s="87"/>
      <c r="V1130" s="90" t="str">
        <f t="shared" si="270"/>
        <v>Distrital</v>
      </c>
      <c r="W1130" s="87" t="s">
        <v>73</v>
      </c>
      <c r="X1130" s="87"/>
      <c r="Y1130" s="87"/>
      <c r="Z1130" s="87"/>
      <c r="AA1130" s="87"/>
      <c r="AB1130" s="87"/>
      <c r="AC1130" s="90" t="str">
        <f t="shared" si="271"/>
        <v>Distrital</v>
      </c>
      <c r="AD1130" s="87" t="s">
        <v>73</v>
      </c>
      <c r="AE1130" s="87"/>
      <c r="AF1130" s="87"/>
      <c r="AG1130" s="87"/>
      <c r="AH1130" s="87"/>
      <c r="AI1130" s="87"/>
      <c r="AJ1130" s="87"/>
      <c r="AK1130" s="87"/>
      <c r="AL1130" s="87"/>
      <c r="AM1130" s="87"/>
      <c r="AN1130" s="90" t="s">
        <v>72</v>
      </c>
      <c r="AO1130" s="90" t="s">
        <v>5066</v>
      </c>
      <c r="AP1130" s="82"/>
      <c r="AQ1130" s="87" t="s">
        <v>59</v>
      </c>
      <c r="AR1130" s="87" t="s">
        <v>80</v>
      </c>
      <c r="AS1130" s="82"/>
      <c r="AT1130" s="87">
        <v>7</v>
      </c>
      <c r="AU1130" s="87">
        <v>7</v>
      </c>
      <c r="AV1130" s="87">
        <f>AT1130+AU1130</f>
        <v>14</v>
      </c>
      <c r="AW1130" s="87" t="s">
        <v>184</v>
      </c>
      <c r="AX1130" s="87"/>
      <c r="AY1130" s="87"/>
      <c r="AZ1130" s="87"/>
      <c r="BA1130" s="91" t="s">
        <v>5067</v>
      </c>
      <c r="BB1130" s="84"/>
      <c r="BC1130" s="85"/>
      <c r="BD1130" s="85"/>
    </row>
    <row r="1131" spans="1:116" s="86" customFormat="1" ht="40.5" customHeight="1">
      <c r="A1131" s="87">
        <v>1126</v>
      </c>
      <c r="B1131" s="79" t="s">
        <v>5068</v>
      </c>
      <c r="C1131" s="88">
        <v>45581</v>
      </c>
      <c r="D1131" s="89">
        <v>0.41666666666666669</v>
      </c>
      <c r="E1131" s="87" t="s">
        <v>93</v>
      </c>
      <c r="F1131" s="87" t="s">
        <v>321</v>
      </c>
      <c r="G1131" s="87" t="s">
        <v>62</v>
      </c>
      <c r="H1131" s="90" t="s">
        <v>5069</v>
      </c>
      <c r="I1131" s="90" t="s">
        <v>118</v>
      </c>
      <c r="J1131" s="87" t="s">
        <v>70</v>
      </c>
      <c r="K1131" s="87" t="s">
        <v>1810</v>
      </c>
      <c r="L1131" s="90" t="s">
        <v>5070</v>
      </c>
      <c r="M1131" s="91" t="s">
        <v>4273</v>
      </c>
      <c r="N1131" s="90" t="s">
        <v>72</v>
      </c>
      <c r="O1131" s="90" t="str">
        <f t="shared" si="269"/>
        <v>Barrios Unidos</v>
      </c>
      <c r="P1131" s="87" t="s">
        <v>686</v>
      </c>
      <c r="Q1131" s="87"/>
      <c r="R1131" s="87"/>
      <c r="S1131" s="87"/>
      <c r="T1131" s="87"/>
      <c r="U1131" s="87"/>
      <c r="V1131" s="90" t="str">
        <f t="shared" si="270"/>
        <v>Centro Ampliado</v>
      </c>
      <c r="W1131" s="87" t="s">
        <v>415</v>
      </c>
      <c r="X1131" s="87"/>
      <c r="Y1131" s="87"/>
      <c r="Z1131" s="87"/>
      <c r="AA1131" s="87"/>
      <c r="AB1131" s="87"/>
      <c r="AC1131" s="90" t="str">
        <f t="shared" si="271"/>
        <v>Barrios Unidos</v>
      </c>
      <c r="AD1131" s="87" t="s">
        <v>686</v>
      </c>
      <c r="AE1131" s="87"/>
      <c r="AF1131" s="87"/>
      <c r="AG1131" s="87"/>
      <c r="AH1131" s="87"/>
      <c r="AI1131" s="87"/>
      <c r="AJ1131" s="87"/>
      <c r="AK1131" s="87"/>
      <c r="AL1131" s="87"/>
      <c r="AM1131" s="87"/>
      <c r="AN1131" s="90" t="s">
        <v>2230</v>
      </c>
      <c r="AO1131" s="90" t="s">
        <v>5071</v>
      </c>
      <c r="AP1131" s="82"/>
      <c r="AQ1131" s="87" t="s">
        <v>59</v>
      </c>
      <c r="AR1131" s="87" t="s">
        <v>80</v>
      </c>
      <c r="AS1131" s="82"/>
      <c r="AT1131" s="87">
        <v>13</v>
      </c>
      <c r="AU1131" s="87">
        <v>1</v>
      </c>
      <c r="AV1131" s="87">
        <f t="shared" si="226"/>
        <v>14</v>
      </c>
      <c r="AW1131" s="87"/>
      <c r="AX1131" s="87"/>
      <c r="AY1131" s="87"/>
      <c r="AZ1131" s="87"/>
      <c r="BA1131" s="91" t="s">
        <v>5072</v>
      </c>
      <c r="BB1131" s="84"/>
      <c r="BC1131" s="85"/>
      <c r="BD1131" s="85"/>
    </row>
    <row r="1132" spans="1:116" s="86" customFormat="1" ht="40.5" customHeight="1">
      <c r="A1132" s="78">
        <v>1127</v>
      </c>
      <c r="B1132" s="90" t="s">
        <v>1561</v>
      </c>
      <c r="C1132" s="88">
        <v>45581</v>
      </c>
      <c r="D1132" s="89">
        <v>0.58333333333333337</v>
      </c>
      <c r="E1132" s="87" t="s">
        <v>93</v>
      </c>
      <c r="F1132" s="87" t="s">
        <v>321</v>
      </c>
      <c r="G1132" s="87" t="s">
        <v>62</v>
      </c>
      <c r="H1132" s="90" t="s">
        <v>5073</v>
      </c>
      <c r="I1132" s="90" t="s">
        <v>118</v>
      </c>
      <c r="J1132" s="87" t="s">
        <v>70</v>
      </c>
      <c r="K1132" s="87" t="s">
        <v>1810</v>
      </c>
      <c r="L1132" s="90" t="s">
        <v>2475</v>
      </c>
      <c r="M1132" s="91" t="s">
        <v>2753</v>
      </c>
      <c r="N1132" s="90" t="s">
        <v>2476</v>
      </c>
      <c r="O1132" s="90" t="str">
        <f t="shared" si="269"/>
        <v>Kennedy</v>
      </c>
      <c r="P1132" s="87" t="s">
        <v>473</v>
      </c>
      <c r="Q1132" s="87"/>
      <c r="R1132" s="87"/>
      <c r="S1132" s="87"/>
      <c r="T1132" s="87"/>
      <c r="U1132" s="87"/>
      <c r="V1132" s="90" t="str">
        <f t="shared" si="270"/>
        <v>Suroccidente</v>
      </c>
      <c r="W1132" s="87" t="s">
        <v>474</v>
      </c>
      <c r="X1132" s="87"/>
      <c r="Y1132" s="87"/>
      <c r="Z1132" s="87"/>
      <c r="AA1132" s="87"/>
      <c r="AB1132" s="87"/>
      <c r="AC1132" s="90" t="str">
        <f t="shared" si="271"/>
        <v>Kennedy</v>
      </c>
      <c r="AD1132" s="87" t="s">
        <v>473</v>
      </c>
      <c r="AE1132" s="87"/>
      <c r="AF1132" s="87"/>
      <c r="AG1132" s="87"/>
      <c r="AH1132" s="87"/>
      <c r="AI1132" s="87"/>
      <c r="AJ1132" s="87"/>
      <c r="AK1132" s="87"/>
      <c r="AL1132" s="87"/>
      <c r="AM1132" s="87"/>
      <c r="AN1132" s="90" t="s">
        <v>5074</v>
      </c>
      <c r="AO1132" s="90" t="s">
        <v>2754</v>
      </c>
      <c r="AP1132" s="82"/>
      <c r="AQ1132" s="87" t="s">
        <v>59</v>
      </c>
      <c r="AR1132" s="87" t="s">
        <v>80</v>
      </c>
      <c r="AS1132" s="82"/>
      <c r="AT1132" s="87">
        <v>7</v>
      </c>
      <c r="AU1132" s="87">
        <v>1</v>
      </c>
      <c r="AV1132" s="87">
        <f t="shared" ref="AV1132:AV1141" si="272">AT1132+AU1132</f>
        <v>8</v>
      </c>
      <c r="AW1132" s="87" t="str">
        <f>_xlfn.TEXTJOIN(", ",TRUE,$AX1132:$AZ1132)</f>
        <v/>
      </c>
      <c r="AX1132" s="87"/>
      <c r="AY1132" s="87"/>
      <c r="AZ1132" s="87"/>
      <c r="BA1132" s="91" t="s">
        <v>5075</v>
      </c>
      <c r="BB1132" s="84"/>
      <c r="BC1132" s="85"/>
      <c r="BD1132" s="85"/>
    </row>
    <row r="1133" spans="1:116" s="86" customFormat="1" ht="40.5" customHeight="1">
      <c r="A1133" s="87">
        <v>1128</v>
      </c>
      <c r="B1133" s="90" t="s">
        <v>5076</v>
      </c>
      <c r="C1133" s="88">
        <v>45581</v>
      </c>
      <c r="D1133" s="89">
        <v>0.58333333333333337</v>
      </c>
      <c r="E1133" s="87" t="s">
        <v>58</v>
      </c>
      <c r="F1133" s="87" t="s">
        <v>1437</v>
      </c>
      <c r="G1133" s="87" t="s">
        <v>62</v>
      </c>
      <c r="H1133" s="90" t="s">
        <v>5077</v>
      </c>
      <c r="I1133" s="90" t="s">
        <v>118</v>
      </c>
      <c r="J1133" s="87" t="s">
        <v>173</v>
      </c>
      <c r="K1133" s="87"/>
      <c r="L1133" s="90" t="s">
        <v>80</v>
      </c>
      <c r="M1133" s="90" t="s">
        <v>80</v>
      </c>
      <c r="N1133" s="90" t="s">
        <v>80</v>
      </c>
      <c r="O1133" s="90" t="str">
        <f t="shared" si="269"/>
        <v>Distrital</v>
      </c>
      <c r="P1133" s="87" t="s">
        <v>73</v>
      </c>
      <c r="Q1133" s="87"/>
      <c r="R1133" s="87"/>
      <c r="S1133" s="87"/>
      <c r="T1133" s="87"/>
      <c r="U1133" s="87"/>
      <c r="V1133" s="90" t="str">
        <f t="shared" si="270"/>
        <v>Distrital</v>
      </c>
      <c r="W1133" s="87" t="s">
        <v>73</v>
      </c>
      <c r="X1133" s="87"/>
      <c r="Y1133" s="87"/>
      <c r="Z1133" s="87"/>
      <c r="AA1133" s="87"/>
      <c r="AB1133" s="87"/>
      <c r="AC1133" s="90" t="str">
        <f t="shared" si="271"/>
        <v>Distrital</v>
      </c>
      <c r="AD1133" s="87" t="s">
        <v>73</v>
      </c>
      <c r="AE1133" s="87"/>
      <c r="AF1133" s="87"/>
      <c r="AG1133" s="87"/>
      <c r="AH1133" s="87"/>
      <c r="AI1133" s="87"/>
      <c r="AJ1133" s="87"/>
      <c r="AK1133" s="87"/>
      <c r="AL1133" s="87"/>
      <c r="AM1133" s="87"/>
      <c r="AN1133" s="90" t="s">
        <v>80</v>
      </c>
      <c r="AO1133" s="90" t="s">
        <v>5078</v>
      </c>
      <c r="AP1133" s="82"/>
      <c r="AQ1133" s="87" t="s">
        <v>59</v>
      </c>
      <c r="AR1133" s="87" t="s">
        <v>80</v>
      </c>
      <c r="AS1133" s="82"/>
      <c r="AT1133" s="87">
        <v>3</v>
      </c>
      <c r="AU1133" s="87">
        <v>28</v>
      </c>
      <c r="AV1133" s="87">
        <f t="shared" si="272"/>
        <v>31</v>
      </c>
      <c r="AW1133" s="87" t="str">
        <f>_xlfn.TEXTJOIN(", ",TRUE,$AX1133:$AZ1133)</f>
        <v/>
      </c>
      <c r="AX1133" s="87"/>
      <c r="AY1133" s="87"/>
      <c r="AZ1133" s="87"/>
      <c r="BA1133" s="91" t="s">
        <v>5079</v>
      </c>
      <c r="BB1133" s="84"/>
      <c r="BC1133" s="85"/>
      <c r="BD1133" s="85"/>
    </row>
    <row r="1134" spans="1:116" s="86" customFormat="1" ht="47.25" customHeight="1">
      <c r="A1134" s="78">
        <v>1129</v>
      </c>
      <c r="B1134" s="90" t="s">
        <v>5080</v>
      </c>
      <c r="C1134" s="88">
        <v>45581</v>
      </c>
      <c r="D1134" s="89">
        <v>0.60416666666666663</v>
      </c>
      <c r="E1134" s="87" t="s">
        <v>58</v>
      </c>
      <c r="F1134" s="87" t="s">
        <v>1184</v>
      </c>
      <c r="G1134" s="87" t="s">
        <v>62</v>
      </c>
      <c r="H1134" s="90" t="s">
        <v>5081</v>
      </c>
      <c r="I1134" s="90" t="s">
        <v>118</v>
      </c>
      <c r="J1134" s="87" t="s">
        <v>70</v>
      </c>
      <c r="K1134" s="87" t="s">
        <v>71</v>
      </c>
      <c r="L1134" s="90" t="s">
        <v>3470</v>
      </c>
      <c r="M1134" s="91" t="s">
        <v>2770</v>
      </c>
      <c r="N1134" s="90" t="s">
        <v>5082</v>
      </c>
      <c r="O1134" s="90" t="str">
        <f t="shared" si="269"/>
        <v>Suba</v>
      </c>
      <c r="P1134" s="87" t="s">
        <v>394</v>
      </c>
      <c r="Q1134" s="87"/>
      <c r="R1134" s="87"/>
      <c r="S1134" s="87"/>
      <c r="T1134" s="87"/>
      <c r="U1134" s="87"/>
      <c r="V1134" s="90" t="str">
        <f t="shared" si="270"/>
        <v>Noroccidente</v>
      </c>
      <c r="W1134" s="87" t="s">
        <v>395</v>
      </c>
      <c r="X1134" s="87"/>
      <c r="Y1134" s="87"/>
      <c r="Z1134" s="87"/>
      <c r="AA1134" s="87"/>
      <c r="AB1134" s="87"/>
      <c r="AC1134" s="90" t="str">
        <f t="shared" si="271"/>
        <v>Suba</v>
      </c>
      <c r="AD1134" s="87" t="s">
        <v>394</v>
      </c>
      <c r="AE1134" s="87"/>
      <c r="AF1134" s="87"/>
      <c r="AG1134" s="87"/>
      <c r="AH1134" s="87"/>
      <c r="AI1134" s="87"/>
      <c r="AJ1134" s="87"/>
      <c r="AK1134" s="87"/>
      <c r="AL1134" s="87"/>
      <c r="AM1134" s="87"/>
      <c r="AN1134" s="90" t="s">
        <v>5083</v>
      </c>
      <c r="AO1134" s="90" t="s">
        <v>5084</v>
      </c>
      <c r="AP1134" s="82"/>
      <c r="AQ1134" s="87" t="s">
        <v>59</v>
      </c>
      <c r="AR1134" s="87" t="s">
        <v>80</v>
      </c>
      <c r="AS1134" s="82"/>
      <c r="AT1134" s="87">
        <v>8</v>
      </c>
      <c r="AU1134" s="87">
        <v>7</v>
      </c>
      <c r="AV1134" s="87">
        <f t="shared" si="272"/>
        <v>15</v>
      </c>
      <c r="AW1134" s="87" t="str">
        <f>_xlfn.TEXTJOIN(", ",TRUE,$AX1134:$AZ1134)</f>
        <v/>
      </c>
      <c r="AX1134" s="87"/>
      <c r="AY1134" s="87"/>
      <c r="AZ1134" s="87"/>
      <c r="BA1134" s="91" t="s">
        <v>5085</v>
      </c>
      <c r="BB1134" s="84"/>
      <c r="BC1134" s="85"/>
      <c r="BD1134" s="85"/>
    </row>
    <row r="1135" spans="1:116" s="86" customFormat="1" ht="40.5" customHeight="1">
      <c r="A1135" s="87">
        <v>1130</v>
      </c>
      <c r="B1135" s="90" t="s">
        <v>5086</v>
      </c>
      <c r="C1135" s="88">
        <v>45581</v>
      </c>
      <c r="D1135" s="89">
        <v>0.70833333333333337</v>
      </c>
      <c r="E1135" s="87" t="s">
        <v>93</v>
      </c>
      <c r="F1135" s="87" t="s">
        <v>102</v>
      </c>
      <c r="G1135" s="87" t="s">
        <v>62</v>
      </c>
      <c r="H1135" s="90" t="s">
        <v>5087</v>
      </c>
      <c r="I1135" s="90" t="s">
        <v>118</v>
      </c>
      <c r="J1135" s="87" t="s">
        <v>119</v>
      </c>
      <c r="K1135" s="87" t="s">
        <v>129</v>
      </c>
      <c r="L1135" s="90" t="s">
        <v>407</v>
      </c>
      <c r="M1135" s="91" t="s">
        <v>3012</v>
      </c>
      <c r="N1135" s="90" t="s">
        <v>439</v>
      </c>
      <c r="O1135" s="90" t="str">
        <f t="shared" si="269"/>
        <v>Distrital</v>
      </c>
      <c r="P1135" s="87" t="s">
        <v>73</v>
      </c>
      <c r="Q1135" s="87"/>
      <c r="R1135" s="87"/>
      <c r="S1135" s="87"/>
      <c r="T1135" s="87"/>
      <c r="U1135" s="87"/>
      <c r="V1135" s="90" t="str">
        <f t="shared" si="270"/>
        <v>Distrital</v>
      </c>
      <c r="W1135" s="87" t="s">
        <v>73</v>
      </c>
      <c r="X1135" s="87"/>
      <c r="Y1135" s="87"/>
      <c r="Z1135" s="87"/>
      <c r="AA1135" s="87"/>
      <c r="AB1135" s="87"/>
      <c r="AC1135" s="90" t="str">
        <f t="shared" si="271"/>
        <v>Distrital</v>
      </c>
      <c r="AD1135" s="87" t="s">
        <v>73</v>
      </c>
      <c r="AE1135" s="87"/>
      <c r="AF1135" s="87"/>
      <c r="AG1135" s="87"/>
      <c r="AH1135" s="87"/>
      <c r="AI1135" s="87"/>
      <c r="AJ1135" s="87"/>
      <c r="AK1135" s="87"/>
      <c r="AL1135" s="87"/>
      <c r="AM1135" s="87"/>
      <c r="AN1135" s="90" t="s">
        <v>80</v>
      </c>
      <c r="AO1135" s="90" t="s">
        <v>5088</v>
      </c>
      <c r="AP1135" s="82"/>
      <c r="AQ1135" s="87" t="s">
        <v>59</v>
      </c>
      <c r="AR1135" s="87" t="s">
        <v>80</v>
      </c>
      <c r="AS1135" s="82"/>
      <c r="AT1135" s="87">
        <v>4</v>
      </c>
      <c r="AU1135" s="87">
        <v>3</v>
      </c>
      <c r="AV1135" s="87">
        <f t="shared" si="272"/>
        <v>7</v>
      </c>
      <c r="AW1135" s="87" t="s">
        <v>184</v>
      </c>
      <c r="AX1135" s="87"/>
      <c r="AY1135" s="87"/>
      <c r="AZ1135" s="87"/>
      <c r="BA1135" s="91" t="s">
        <v>5089</v>
      </c>
      <c r="BB1135" s="84"/>
      <c r="BC1135" s="85"/>
      <c r="BD1135" s="85"/>
    </row>
    <row r="1136" spans="1:116" s="86" customFormat="1" ht="40.5" customHeight="1">
      <c r="A1136" s="78">
        <v>1131</v>
      </c>
      <c r="B1136" s="90" t="s">
        <v>5090</v>
      </c>
      <c r="C1136" s="88">
        <v>45582</v>
      </c>
      <c r="D1136" s="89">
        <v>0.29166666666666669</v>
      </c>
      <c r="E1136" s="87" t="s">
        <v>58</v>
      </c>
      <c r="F1136" s="87" t="s">
        <v>1437</v>
      </c>
      <c r="G1136" s="87" t="s">
        <v>95</v>
      </c>
      <c r="H1136" s="90" t="s">
        <v>5091</v>
      </c>
      <c r="I1136" s="90" t="s">
        <v>118</v>
      </c>
      <c r="J1136" s="87" t="s">
        <v>173</v>
      </c>
      <c r="K1136" s="87"/>
      <c r="L1136" s="90" t="s">
        <v>72</v>
      </c>
      <c r="M1136" s="90" t="s">
        <v>72</v>
      </c>
      <c r="N1136" s="90" t="s">
        <v>72</v>
      </c>
      <c r="O1136" s="90" t="str">
        <f t="shared" si="269"/>
        <v>Distrital</v>
      </c>
      <c r="P1136" s="87" t="s">
        <v>73</v>
      </c>
      <c r="Q1136" s="87"/>
      <c r="R1136" s="87"/>
      <c r="S1136" s="87"/>
      <c r="T1136" s="87"/>
      <c r="U1136" s="87"/>
      <c r="V1136" s="90" t="str">
        <f t="shared" si="270"/>
        <v>Distrital</v>
      </c>
      <c r="W1136" s="87" t="s">
        <v>73</v>
      </c>
      <c r="X1136" s="87"/>
      <c r="Y1136" s="87"/>
      <c r="Z1136" s="87"/>
      <c r="AA1136" s="87"/>
      <c r="AB1136" s="87"/>
      <c r="AC1136" s="90" t="str">
        <f t="shared" si="271"/>
        <v>Distrital</v>
      </c>
      <c r="AD1136" s="87" t="s">
        <v>73</v>
      </c>
      <c r="AE1136" s="87"/>
      <c r="AF1136" s="87"/>
      <c r="AG1136" s="87"/>
      <c r="AH1136" s="87"/>
      <c r="AI1136" s="87"/>
      <c r="AJ1136" s="87"/>
      <c r="AK1136" s="87"/>
      <c r="AL1136" s="87"/>
      <c r="AM1136" s="87"/>
      <c r="AN1136" s="90" t="s">
        <v>80</v>
      </c>
      <c r="AO1136" s="102" t="s">
        <v>2667</v>
      </c>
      <c r="AP1136" s="82"/>
      <c r="AQ1136" s="87" t="s">
        <v>59</v>
      </c>
      <c r="AR1136" s="87" t="s">
        <v>80</v>
      </c>
      <c r="AS1136" s="82"/>
      <c r="AT1136" s="87">
        <v>2</v>
      </c>
      <c r="AU1136" s="87">
        <v>3</v>
      </c>
      <c r="AV1136" s="87">
        <f t="shared" si="272"/>
        <v>5</v>
      </c>
      <c r="AW1136" s="87" t="s">
        <v>184</v>
      </c>
      <c r="AX1136" s="87"/>
      <c r="AY1136" s="87"/>
      <c r="AZ1136" s="87"/>
      <c r="BA1136" s="91" t="s">
        <v>5092</v>
      </c>
      <c r="BB1136" s="84"/>
      <c r="BC1136" s="85"/>
      <c r="BD1136" s="85"/>
    </row>
    <row r="1137" spans="1:56" s="86" customFormat="1" ht="40.5" customHeight="1">
      <c r="A1137" s="87">
        <v>1132</v>
      </c>
      <c r="B1137" s="90" t="s">
        <v>5093</v>
      </c>
      <c r="C1137" s="88">
        <v>45582</v>
      </c>
      <c r="D1137" s="89">
        <v>0.29166666666666669</v>
      </c>
      <c r="E1137" s="87" t="s">
        <v>58</v>
      </c>
      <c r="F1137" s="87" t="s">
        <v>1184</v>
      </c>
      <c r="G1137" s="87" t="s">
        <v>95</v>
      </c>
      <c r="H1137" s="90" t="s">
        <v>5094</v>
      </c>
      <c r="I1137" s="90" t="s">
        <v>118</v>
      </c>
      <c r="J1137" s="87" t="s">
        <v>70</v>
      </c>
      <c r="K1137" s="87" t="s">
        <v>324</v>
      </c>
      <c r="L1137" s="90" t="s">
        <v>4996</v>
      </c>
      <c r="M1137" s="91" t="s">
        <v>2786</v>
      </c>
      <c r="N1137" s="90" t="s">
        <v>5095</v>
      </c>
      <c r="O1137" s="90" t="str">
        <f t="shared" si="269"/>
        <v>Puente Aranda</v>
      </c>
      <c r="P1137" s="87" t="s">
        <v>823</v>
      </c>
      <c r="Q1137" s="87"/>
      <c r="R1137" s="87"/>
      <c r="S1137" s="87"/>
      <c r="T1137" s="87"/>
      <c r="U1137" s="87"/>
      <c r="V1137" s="90" t="str">
        <f t="shared" si="270"/>
        <v>Centro Ampliado</v>
      </c>
      <c r="W1137" s="87" t="s">
        <v>415</v>
      </c>
      <c r="X1137" s="87"/>
      <c r="Y1137" s="87"/>
      <c r="Z1137" s="87"/>
      <c r="AA1137" s="87"/>
      <c r="AB1137" s="87"/>
      <c r="AC1137" s="90" t="str">
        <f t="shared" si="271"/>
        <v>Puente Aranda</v>
      </c>
      <c r="AD1137" s="87" t="s">
        <v>823</v>
      </c>
      <c r="AE1137" s="87"/>
      <c r="AF1137" s="87"/>
      <c r="AG1137" s="87"/>
      <c r="AH1137" s="87"/>
      <c r="AI1137" s="87"/>
      <c r="AJ1137" s="87"/>
      <c r="AK1137" s="87"/>
      <c r="AL1137" s="87"/>
      <c r="AM1137" s="87"/>
      <c r="AN1137" s="90" t="s">
        <v>823</v>
      </c>
      <c r="AO1137" s="90" t="s">
        <v>5096</v>
      </c>
      <c r="AP1137" s="82"/>
      <c r="AQ1137" s="87" t="s">
        <v>59</v>
      </c>
      <c r="AR1137" s="87" t="s">
        <v>80</v>
      </c>
      <c r="AS1137" s="82"/>
      <c r="AT1137" s="87">
        <v>3</v>
      </c>
      <c r="AU1137" s="87">
        <v>5</v>
      </c>
      <c r="AV1137" s="87">
        <f t="shared" si="272"/>
        <v>8</v>
      </c>
      <c r="AW1137" s="87" t="s">
        <v>184</v>
      </c>
      <c r="AX1137" s="87"/>
      <c r="AY1137" s="87"/>
      <c r="AZ1137" s="87"/>
      <c r="BA1137" s="91" t="s">
        <v>5097</v>
      </c>
      <c r="BB1137" s="84"/>
      <c r="BC1137" s="85"/>
      <c r="BD1137" s="85"/>
    </row>
    <row r="1138" spans="1:56" s="86" customFormat="1" ht="43.5" customHeight="1">
      <c r="A1138" s="78">
        <v>1133</v>
      </c>
      <c r="B1138" s="90" t="s">
        <v>3739</v>
      </c>
      <c r="C1138" s="88">
        <v>45582</v>
      </c>
      <c r="D1138" s="89">
        <v>0.33333333333333331</v>
      </c>
      <c r="E1138" s="87" t="s">
        <v>93</v>
      </c>
      <c r="F1138" s="87" t="s">
        <v>321</v>
      </c>
      <c r="G1138" s="87" t="s">
        <v>62</v>
      </c>
      <c r="H1138" s="90" t="s">
        <v>5098</v>
      </c>
      <c r="I1138" s="90" t="s">
        <v>118</v>
      </c>
      <c r="J1138" s="87" t="s">
        <v>70</v>
      </c>
      <c r="K1138" s="87" t="s">
        <v>1810</v>
      </c>
      <c r="L1138" s="90" t="s">
        <v>5099</v>
      </c>
      <c r="M1138" s="91" t="s">
        <v>5100</v>
      </c>
      <c r="N1138" s="90" t="s">
        <v>72</v>
      </c>
      <c r="O1138" s="90" t="str">
        <f t="shared" si="269"/>
        <v>Suba</v>
      </c>
      <c r="P1138" s="87" t="s">
        <v>394</v>
      </c>
      <c r="Q1138" s="87"/>
      <c r="R1138" s="87"/>
      <c r="S1138" s="87"/>
      <c r="T1138" s="87"/>
      <c r="U1138" s="87"/>
      <c r="V1138" s="90" t="str">
        <f t="shared" si="270"/>
        <v>Noroccidente</v>
      </c>
      <c r="W1138" s="87" t="s">
        <v>395</v>
      </c>
      <c r="X1138" s="87"/>
      <c r="Y1138" s="87"/>
      <c r="Z1138" s="87"/>
      <c r="AA1138" s="87"/>
      <c r="AB1138" s="87"/>
      <c r="AC1138" s="90" t="str">
        <f t="shared" si="271"/>
        <v>Suba</v>
      </c>
      <c r="AD1138" s="87" t="s">
        <v>394</v>
      </c>
      <c r="AE1138" s="87"/>
      <c r="AF1138" s="87"/>
      <c r="AG1138" s="87"/>
      <c r="AH1138" s="87"/>
      <c r="AI1138" s="87"/>
      <c r="AJ1138" s="87"/>
      <c r="AK1138" s="87"/>
      <c r="AL1138" s="87"/>
      <c r="AM1138" s="87"/>
      <c r="AN1138" s="90" t="s">
        <v>394</v>
      </c>
      <c r="AO1138" s="90" t="s">
        <v>5101</v>
      </c>
      <c r="AP1138" s="82"/>
      <c r="AQ1138" s="87" t="s">
        <v>59</v>
      </c>
      <c r="AR1138" s="87" t="s">
        <v>80</v>
      </c>
      <c r="AS1138" s="82"/>
      <c r="AT1138" s="87">
        <v>16</v>
      </c>
      <c r="AU1138" s="87">
        <v>2</v>
      </c>
      <c r="AV1138" s="87">
        <f t="shared" si="272"/>
        <v>18</v>
      </c>
      <c r="AW1138" s="87" t="str">
        <f t="shared" ref="AW1138:AW1157" si="273">_xlfn.TEXTJOIN(", ",TRUE,$AX1138:$AZ1138)</f>
        <v>Horarios Acordes</v>
      </c>
      <c r="AX1138" s="87" t="s">
        <v>213</v>
      </c>
      <c r="AY1138" s="87"/>
      <c r="AZ1138" s="87"/>
      <c r="BA1138" s="91" t="s">
        <v>5102</v>
      </c>
      <c r="BB1138" s="84"/>
      <c r="BC1138" s="85"/>
      <c r="BD1138" s="85"/>
    </row>
    <row r="1139" spans="1:56" s="86" customFormat="1" ht="43.5" customHeight="1">
      <c r="A1139" s="87">
        <v>1134</v>
      </c>
      <c r="B1139" s="79" t="s">
        <v>5103</v>
      </c>
      <c r="C1139" s="88">
        <v>45582</v>
      </c>
      <c r="D1139" s="89">
        <v>0.33333333333333331</v>
      </c>
      <c r="E1139" s="87" t="s">
        <v>58</v>
      </c>
      <c r="F1139" s="87" t="s">
        <v>1437</v>
      </c>
      <c r="G1139" s="87" t="s">
        <v>95</v>
      </c>
      <c r="H1139" s="90" t="s">
        <v>5104</v>
      </c>
      <c r="I1139" s="90" t="s">
        <v>118</v>
      </c>
      <c r="J1139" s="87" t="s">
        <v>173</v>
      </c>
      <c r="K1139" s="87"/>
      <c r="L1139" s="90" t="s">
        <v>80</v>
      </c>
      <c r="M1139" s="91" t="s">
        <v>78</v>
      </c>
      <c r="N1139" s="90" t="s">
        <v>80</v>
      </c>
      <c r="O1139" s="90" t="str">
        <f t="shared" si="269"/>
        <v>Distrital</v>
      </c>
      <c r="P1139" s="87" t="s">
        <v>73</v>
      </c>
      <c r="Q1139" s="87"/>
      <c r="R1139" s="87"/>
      <c r="S1139" s="87"/>
      <c r="T1139" s="87"/>
      <c r="U1139" s="87"/>
      <c r="V1139" s="90" t="str">
        <f t="shared" si="270"/>
        <v>Distrital</v>
      </c>
      <c r="W1139" s="87" t="s">
        <v>73</v>
      </c>
      <c r="X1139" s="87"/>
      <c r="Y1139" s="87"/>
      <c r="Z1139" s="87"/>
      <c r="AA1139" s="87"/>
      <c r="AB1139" s="87"/>
      <c r="AC1139" s="90" t="str">
        <f t="shared" si="271"/>
        <v>Distrital</v>
      </c>
      <c r="AD1139" s="87" t="s">
        <v>73</v>
      </c>
      <c r="AE1139" s="87"/>
      <c r="AF1139" s="87"/>
      <c r="AG1139" s="87"/>
      <c r="AH1139" s="87"/>
      <c r="AI1139" s="87"/>
      <c r="AJ1139" s="87"/>
      <c r="AK1139" s="87"/>
      <c r="AL1139" s="87"/>
      <c r="AM1139" s="87"/>
      <c r="AN1139" s="90" t="s">
        <v>80</v>
      </c>
      <c r="AO1139" s="102" t="s">
        <v>2667</v>
      </c>
      <c r="AP1139" s="82"/>
      <c r="AQ1139" s="87" t="s">
        <v>59</v>
      </c>
      <c r="AR1139" s="87" t="s">
        <v>80</v>
      </c>
      <c r="AS1139" s="82"/>
      <c r="AT1139" s="87">
        <v>3</v>
      </c>
      <c r="AU1139" s="87">
        <v>4</v>
      </c>
      <c r="AV1139" s="87">
        <f t="shared" si="272"/>
        <v>7</v>
      </c>
      <c r="AW1139" s="87" t="str">
        <f t="shared" si="273"/>
        <v>Horarios Acordes</v>
      </c>
      <c r="AX1139" s="87" t="s">
        <v>213</v>
      </c>
      <c r="AY1139" s="87"/>
      <c r="AZ1139" s="87"/>
      <c r="BA1139" s="91" t="s">
        <v>5105</v>
      </c>
      <c r="BB1139" s="84"/>
      <c r="BC1139" s="85"/>
      <c r="BD1139" s="85"/>
    </row>
    <row r="1140" spans="1:56" s="86" customFormat="1" ht="43.5" customHeight="1">
      <c r="A1140" s="78">
        <v>1135</v>
      </c>
      <c r="B1140" s="79" t="s">
        <v>5106</v>
      </c>
      <c r="C1140" s="88">
        <v>45582</v>
      </c>
      <c r="D1140" s="89">
        <v>0.41666666666666669</v>
      </c>
      <c r="E1140" s="87" t="s">
        <v>93</v>
      </c>
      <c r="F1140" s="87" t="s">
        <v>102</v>
      </c>
      <c r="G1140" s="87" t="s">
        <v>95</v>
      </c>
      <c r="H1140" s="90" t="s">
        <v>4949</v>
      </c>
      <c r="I1140" s="90" t="s">
        <v>118</v>
      </c>
      <c r="J1140" s="87" t="s">
        <v>119</v>
      </c>
      <c r="K1140" s="87" t="s">
        <v>129</v>
      </c>
      <c r="L1140" s="90" t="s">
        <v>4704</v>
      </c>
      <c r="M1140" s="91" t="s">
        <v>3950</v>
      </c>
      <c r="N1140" s="90" t="s">
        <v>736</v>
      </c>
      <c r="O1140" s="90" t="str">
        <f t="shared" si="269"/>
        <v>Distrital</v>
      </c>
      <c r="P1140" s="87" t="s">
        <v>73</v>
      </c>
      <c r="Q1140" s="87"/>
      <c r="R1140" s="87"/>
      <c r="S1140" s="87"/>
      <c r="T1140" s="87"/>
      <c r="U1140" s="87"/>
      <c r="V1140" s="90" t="str">
        <f t="shared" si="270"/>
        <v>Distrital</v>
      </c>
      <c r="W1140" s="87" t="s">
        <v>73</v>
      </c>
      <c r="X1140" s="87"/>
      <c r="Y1140" s="87"/>
      <c r="Z1140" s="87"/>
      <c r="AA1140" s="87"/>
      <c r="AB1140" s="87"/>
      <c r="AC1140" s="90" t="str">
        <f t="shared" si="271"/>
        <v>Distrital</v>
      </c>
      <c r="AD1140" s="87" t="s">
        <v>73</v>
      </c>
      <c r="AE1140" s="87"/>
      <c r="AF1140" s="87"/>
      <c r="AG1140" s="87"/>
      <c r="AH1140" s="87"/>
      <c r="AI1140" s="87"/>
      <c r="AJ1140" s="87"/>
      <c r="AK1140" s="87"/>
      <c r="AL1140" s="87"/>
      <c r="AM1140" s="87"/>
      <c r="AN1140" s="90" t="s">
        <v>80</v>
      </c>
      <c r="AO1140" s="102" t="s">
        <v>2667</v>
      </c>
      <c r="AP1140" s="82"/>
      <c r="AQ1140" s="87" t="s">
        <v>59</v>
      </c>
      <c r="AR1140" s="87" t="s">
        <v>80</v>
      </c>
      <c r="AS1140" s="82"/>
      <c r="AT1140" s="87">
        <v>9</v>
      </c>
      <c r="AU1140" s="87">
        <v>1</v>
      </c>
      <c r="AV1140" s="87">
        <f t="shared" si="272"/>
        <v>10</v>
      </c>
      <c r="AW1140" s="87" t="str">
        <f t="shared" si="273"/>
        <v>Ninguna</v>
      </c>
      <c r="AX1140" s="87" t="s">
        <v>75</v>
      </c>
      <c r="AY1140" s="87"/>
      <c r="AZ1140" s="87"/>
      <c r="BA1140" s="91" t="s">
        <v>5107</v>
      </c>
      <c r="BB1140" s="84"/>
      <c r="BC1140" s="85"/>
      <c r="BD1140" s="85"/>
    </row>
    <row r="1141" spans="1:56" s="86" customFormat="1" ht="43.5" customHeight="1">
      <c r="A1141" s="87">
        <v>1136</v>
      </c>
      <c r="B1141" s="79" t="s">
        <v>5108</v>
      </c>
      <c r="C1141" s="88">
        <v>45582</v>
      </c>
      <c r="D1141" s="89">
        <v>0.45833333333333331</v>
      </c>
      <c r="E1141" s="87" t="s">
        <v>58</v>
      </c>
      <c r="F1141" s="87" t="s">
        <v>1184</v>
      </c>
      <c r="G1141" s="87" t="s">
        <v>62</v>
      </c>
      <c r="H1141" s="90" t="s">
        <v>5109</v>
      </c>
      <c r="I1141" s="90" t="s">
        <v>118</v>
      </c>
      <c r="J1141" s="87" t="s">
        <v>70</v>
      </c>
      <c r="K1141" s="87" t="s">
        <v>71</v>
      </c>
      <c r="L1141" s="90" t="s">
        <v>2558</v>
      </c>
      <c r="M1141" s="91" t="s">
        <v>3042</v>
      </c>
      <c r="N1141" s="91" t="s">
        <v>3042</v>
      </c>
      <c r="O1141" s="90" t="str">
        <f t="shared" si="269"/>
        <v>Tunjuelito</v>
      </c>
      <c r="P1141" s="87" t="s">
        <v>618</v>
      </c>
      <c r="Q1141" s="87"/>
      <c r="R1141" s="87"/>
      <c r="S1141" s="87"/>
      <c r="T1141" s="87"/>
      <c r="U1141" s="87"/>
      <c r="V1141" s="90" t="str">
        <f t="shared" si="270"/>
        <v>Suroriente</v>
      </c>
      <c r="W1141" s="87" t="s">
        <v>108</v>
      </c>
      <c r="X1141" s="87"/>
      <c r="Y1141" s="87"/>
      <c r="Z1141" s="87"/>
      <c r="AA1141" s="87"/>
      <c r="AB1141" s="87"/>
      <c r="AC1141" s="90" t="str">
        <f t="shared" si="271"/>
        <v>Tunjuelito</v>
      </c>
      <c r="AD1141" s="87" t="s">
        <v>618</v>
      </c>
      <c r="AE1141" s="87"/>
      <c r="AF1141" s="87"/>
      <c r="AG1141" s="87"/>
      <c r="AH1141" s="87"/>
      <c r="AI1141" s="87"/>
      <c r="AJ1141" s="87"/>
      <c r="AK1141" s="87"/>
      <c r="AL1141" s="87"/>
      <c r="AM1141" s="87"/>
      <c r="AN1141" s="90" t="s">
        <v>618</v>
      </c>
      <c r="AO1141" s="90" t="s">
        <v>5110</v>
      </c>
      <c r="AP1141" s="82"/>
      <c r="AQ1141" s="87" t="s">
        <v>59</v>
      </c>
      <c r="AR1141" s="87" t="s">
        <v>80</v>
      </c>
      <c r="AS1141" s="82"/>
      <c r="AT1141" s="87">
        <v>5</v>
      </c>
      <c r="AU1141" s="87">
        <v>8</v>
      </c>
      <c r="AV1141" s="87">
        <f t="shared" si="272"/>
        <v>13</v>
      </c>
      <c r="AW1141" s="87" t="str">
        <f t="shared" si="273"/>
        <v>Contenidos adaptados</v>
      </c>
      <c r="AX1141" s="87" t="s">
        <v>212</v>
      </c>
      <c r="AY1141" s="87"/>
      <c r="AZ1141" s="87"/>
      <c r="BA1141" s="91" t="s">
        <v>5111</v>
      </c>
      <c r="BB1141" s="84"/>
      <c r="BC1141" s="85"/>
      <c r="BD1141" s="85"/>
    </row>
    <row r="1142" spans="1:56" s="86" customFormat="1" ht="43.5" customHeight="1">
      <c r="A1142" s="78">
        <v>1137</v>
      </c>
      <c r="B1142" s="79" t="s">
        <v>5112</v>
      </c>
      <c r="C1142" s="88">
        <v>45582</v>
      </c>
      <c r="D1142" s="89">
        <v>0.5625</v>
      </c>
      <c r="E1142" s="87" t="s">
        <v>58</v>
      </c>
      <c r="F1142" s="87" t="s">
        <v>2358</v>
      </c>
      <c r="G1142" s="87" t="s">
        <v>62</v>
      </c>
      <c r="H1142" s="90" t="s">
        <v>5113</v>
      </c>
      <c r="I1142" s="90" t="s">
        <v>118</v>
      </c>
      <c r="J1142" s="87" t="s">
        <v>376</v>
      </c>
      <c r="K1142" s="87" t="s">
        <v>557</v>
      </c>
      <c r="L1142" s="90" t="s">
        <v>5114</v>
      </c>
      <c r="M1142" s="91" t="s">
        <v>5115</v>
      </c>
      <c r="N1142" s="91" t="s">
        <v>80</v>
      </c>
      <c r="O1142" s="90" t="str">
        <f t="shared" ref="O1142" si="274">_xlfn.TEXTJOIN(", ",TRUE,$P1142:$T1142)</f>
        <v>Usaquén</v>
      </c>
      <c r="P1142" s="87" t="s">
        <v>428</v>
      </c>
      <c r="Q1142" s="87"/>
      <c r="R1142" s="87"/>
      <c r="S1142" s="87"/>
      <c r="T1142" s="87"/>
      <c r="U1142" s="87"/>
      <c r="V1142" s="90" t="str">
        <f t="shared" ref="V1142" si="275">_xlfn.TEXTJOIN(", ",TRUE,$W1142:$AB1142)</f>
        <v>Norte</v>
      </c>
      <c r="W1142" s="87" t="s">
        <v>429</v>
      </c>
      <c r="X1142" s="87"/>
      <c r="Y1142" s="87"/>
      <c r="Z1142" s="87"/>
      <c r="AA1142" s="87"/>
      <c r="AB1142" s="87"/>
      <c r="AC1142" s="90" t="str">
        <f t="shared" ref="AC1142" si="276">_xlfn.TEXTJOIN(", ",TRUE,$AD1142:$AM1142)</f>
        <v>Torca</v>
      </c>
      <c r="AD1142" s="87" t="s">
        <v>528</v>
      </c>
      <c r="AE1142" s="87"/>
      <c r="AF1142" s="87"/>
      <c r="AG1142" s="87"/>
      <c r="AH1142" s="87"/>
      <c r="AI1142" s="87"/>
      <c r="AJ1142" s="87"/>
      <c r="AK1142" s="87"/>
      <c r="AL1142" s="87"/>
      <c r="AM1142" s="87"/>
      <c r="AN1142" s="90" t="s">
        <v>5116</v>
      </c>
      <c r="AO1142" s="90" t="s">
        <v>5117</v>
      </c>
      <c r="AP1142" s="82"/>
      <c r="AQ1142" s="87" t="s">
        <v>59</v>
      </c>
      <c r="AR1142" s="87" t="s">
        <v>80</v>
      </c>
      <c r="AS1142" s="82"/>
      <c r="AT1142" s="87">
        <v>2</v>
      </c>
      <c r="AU1142" s="87">
        <v>3</v>
      </c>
      <c r="AV1142" s="87">
        <f t="shared" si="46"/>
        <v>5</v>
      </c>
      <c r="AW1142" s="87" t="str">
        <f t="shared" si="273"/>
        <v>Ninguna</v>
      </c>
      <c r="AX1142" s="87" t="s">
        <v>75</v>
      </c>
      <c r="AY1142" s="87"/>
      <c r="AZ1142" s="87"/>
      <c r="BA1142" s="91" t="s">
        <v>5118</v>
      </c>
      <c r="BB1142" s="84"/>
      <c r="BC1142" s="85"/>
      <c r="BD1142" s="85"/>
    </row>
    <row r="1143" spans="1:56" s="86" customFormat="1" ht="43.5" customHeight="1">
      <c r="A1143" s="87">
        <v>1138</v>
      </c>
      <c r="B1143" s="79" t="s">
        <v>5119</v>
      </c>
      <c r="C1143" s="88">
        <v>45582</v>
      </c>
      <c r="D1143" s="89">
        <v>0.58333333333333337</v>
      </c>
      <c r="E1143" s="87" t="s">
        <v>58</v>
      </c>
      <c r="F1143" s="87" t="s">
        <v>116</v>
      </c>
      <c r="G1143" s="87" t="s">
        <v>62</v>
      </c>
      <c r="H1143" s="90" t="s">
        <v>5120</v>
      </c>
      <c r="I1143" s="90" t="s">
        <v>118</v>
      </c>
      <c r="J1143" s="87" t="s">
        <v>70</v>
      </c>
      <c r="K1143" s="87" t="s">
        <v>300</v>
      </c>
      <c r="L1143" s="90" t="s">
        <v>5121</v>
      </c>
      <c r="M1143" s="91" t="s">
        <v>5122</v>
      </c>
      <c r="N1143" s="90" t="s">
        <v>5123</v>
      </c>
      <c r="O1143" s="90" t="str">
        <f t="shared" ref="O1143:O1156" si="277">_xlfn.TEXTJOIN(", ",TRUE,$P1143:$T1143)</f>
        <v>Barrios Unidos</v>
      </c>
      <c r="P1143" s="87" t="s">
        <v>686</v>
      </c>
      <c r="Q1143" s="87"/>
      <c r="R1143" s="87"/>
      <c r="S1143" s="87"/>
      <c r="T1143" s="87"/>
      <c r="U1143" s="87"/>
      <c r="V1143" s="90" t="str">
        <f t="shared" ref="V1143:V1156" si="278">_xlfn.TEXTJOIN(", ",TRUE,$W1143:$AB1143)</f>
        <v>Centro Ampliado</v>
      </c>
      <c r="W1143" s="87" t="s">
        <v>415</v>
      </c>
      <c r="X1143" s="87"/>
      <c r="Y1143" s="87"/>
      <c r="Z1143" s="87"/>
      <c r="AA1143" s="87"/>
      <c r="AB1143" s="87"/>
      <c r="AC1143" s="90" t="str">
        <f t="shared" ref="AC1143:AC1156" si="279">_xlfn.TEXTJOIN(", ",TRUE,$AD1143:$AM1143)</f>
        <v>Barrios Unidos</v>
      </c>
      <c r="AD1143" s="87" t="s">
        <v>686</v>
      </c>
      <c r="AE1143" s="87"/>
      <c r="AF1143" s="87"/>
      <c r="AG1143" s="87"/>
      <c r="AH1143" s="87"/>
      <c r="AI1143" s="87"/>
      <c r="AJ1143" s="87"/>
      <c r="AK1143" s="87"/>
      <c r="AL1143" s="87"/>
      <c r="AM1143" s="87"/>
      <c r="AN1143" s="90" t="s">
        <v>4977</v>
      </c>
      <c r="AO1143" s="90" t="s">
        <v>5124</v>
      </c>
      <c r="AP1143" s="82"/>
      <c r="AQ1143" s="87" t="s">
        <v>59</v>
      </c>
      <c r="AR1143" s="87" t="s">
        <v>80</v>
      </c>
      <c r="AS1143" s="82"/>
      <c r="AT1143" s="87">
        <v>15</v>
      </c>
      <c r="AU1143" s="87">
        <v>6</v>
      </c>
      <c r="AV1143" s="87">
        <f t="shared" ref="AV1143:AV1156" si="280">AT1143+AU1143</f>
        <v>21</v>
      </c>
      <c r="AW1143" s="87" t="str">
        <f t="shared" si="273"/>
        <v>Accesibilidad Universal, Horarios Acordes</v>
      </c>
      <c r="AX1143" s="87" t="s">
        <v>246</v>
      </c>
      <c r="AY1143" s="87" t="s">
        <v>213</v>
      </c>
      <c r="AZ1143" s="87"/>
      <c r="BA1143" s="91" t="s">
        <v>5125</v>
      </c>
      <c r="BB1143" s="84"/>
      <c r="BC1143" s="85"/>
      <c r="BD1143" s="85"/>
    </row>
    <row r="1144" spans="1:56" s="86" customFormat="1" ht="43.5" customHeight="1">
      <c r="A1144" s="78">
        <v>1139</v>
      </c>
      <c r="B1144" s="79" t="s">
        <v>5126</v>
      </c>
      <c r="C1144" s="88">
        <v>45582</v>
      </c>
      <c r="D1144" s="89">
        <v>0.58333333333333337</v>
      </c>
      <c r="E1144" s="87" t="s">
        <v>58</v>
      </c>
      <c r="F1144" s="87" t="s">
        <v>1184</v>
      </c>
      <c r="G1144" s="87" t="s">
        <v>62</v>
      </c>
      <c r="H1144" s="90" t="s">
        <v>4848</v>
      </c>
      <c r="I1144" s="90" t="s">
        <v>118</v>
      </c>
      <c r="J1144" s="87" t="s">
        <v>70</v>
      </c>
      <c r="K1144" s="87" t="s">
        <v>71</v>
      </c>
      <c r="L1144" s="90" t="s">
        <v>5127</v>
      </c>
      <c r="M1144" s="91" t="s">
        <v>5128</v>
      </c>
      <c r="N1144" s="90" t="s">
        <v>72</v>
      </c>
      <c r="O1144" s="90" t="str">
        <f t="shared" si="277"/>
        <v>La Candelaria</v>
      </c>
      <c r="P1144" s="87" t="s">
        <v>487</v>
      </c>
      <c r="Q1144" s="87"/>
      <c r="R1144" s="87"/>
      <c r="S1144" s="87"/>
      <c r="T1144" s="87"/>
      <c r="U1144" s="87"/>
      <c r="V1144" s="90" t="str">
        <f t="shared" si="278"/>
        <v>Centro Ampliado</v>
      </c>
      <c r="W1144" s="87" t="s">
        <v>415</v>
      </c>
      <c r="X1144" s="87"/>
      <c r="Y1144" s="87"/>
      <c r="Z1144" s="87"/>
      <c r="AA1144" s="87"/>
      <c r="AB1144" s="87"/>
      <c r="AC1144" s="90" t="str">
        <f t="shared" si="279"/>
        <v>Centro Histórico</v>
      </c>
      <c r="AD1144" s="87" t="s">
        <v>488</v>
      </c>
      <c r="AE1144" s="87"/>
      <c r="AF1144" s="87"/>
      <c r="AG1144" s="87"/>
      <c r="AH1144" s="87"/>
      <c r="AI1144" s="87"/>
      <c r="AJ1144" s="87"/>
      <c r="AK1144" s="87"/>
      <c r="AL1144" s="87"/>
      <c r="AM1144" s="87"/>
      <c r="AN1144" s="90" t="s">
        <v>2682</v>
      </c>
      <c r="AO1144" s="90" t="s">
        <v>5129</v>
      </c>
      <c r="AP1144" s="82"/>
      <c r="AQ1144" s="87" t="s">
        <v>59</v>
      </c>
      <c r="AR1144" s="87" t="s">
        <v>80</v>
      </c>
      <c r="AS1144" s="82"/>
      <c r="AT1144" s="87">
        <v>9</v>
      </c>
      <c r="AU1144" s="87">
        <v>5</v>
      </c>
      <c r="AV1144" s="87">
        <f t="shared" si="280"/>
        <v>14</v>
      </c>
      <c r="AW1144" s="87" t="str">
        <f t="shared" si="54"/>
        <v>Ninguna</v>
      </c>
      <c r="AX1144" s="87" t="s">
        <v>75</v>
      </c>
      <c r="AY1144" s="87"/>
      <c r="AZ1144" s="87"/>
      <c r="BA1144" s="91" t="s">
        <v>5130</v>
      </c>
      <c r="BB1144" s="84"/>
      <c r="BC1144" s="85"/>
      <c r="BD1144" s="85"/>
    </row>
    <row r="1145" spans="1:56" s="86" customFormat="1" ht="43.5" customHeight="1">
      <c r="A1145" s="87">
        <v>1140</v>
      </c>
      <c r="B1145" s="90" t="s">
        <v>5131</v>
      </c>
      <c r="C1145" s="88">
        <v>45583</v>
      </c>
      <c r="D1145" s="89">
        <v>0.29166666666666669</v>
      </c>
      <c r="E1145" s="87" t="s">
        <v>58</v>
      </c>
      <c r="F1145" s="87" t="s">
        <v>1437</v>
      </c>
      <c r="G1145" s="87" t="s">
        <v>62</v>
      </c>
      <c r="H1145" s="90" t="s">
        <v>5132</v>
      </c>
      <c r="I1145" s="90" t="s">
        <v>172</v>
      </c>
      <c r="J1145" s="87" t="s">
        <v>173</v>
      </c>
      <c r="K1145" s="87"/>
      <c r="L1145" s="90" t="s">
        <v>1317</v>
      </c>
      <c r="M1145" s="91" t="s">
        <v>72</v>
      </c>
      <c r="N1145" s="90" t="s">
        <v>72</v>
      </c>
      <c r="O1145" s="90" t="str">
        <f t="shared" si="277"/>
        <v>Distrital</v>
      </c>
      <c r="P1145" s="87" t="s">
        <v>73</v>
      </c>
      <c r="Q1145" s="87"/>
      <c r="R1145" s="87"/>
      <c r="S1145" s="87"/>
      <c r="T1145" s="87"/>
      <c r="U1145" s="87"/>
      <c r="V1145" s="90" t="str">
        <f t="shared" si="278"/>
        <v>Distrital</v>
      </c>
      <c r="W1145" s="87" t="s">
        <v>73</v>
      </c>
      <c r="X1145" s="87"/>
      <c r="Y1145" s="87"/>
      <c r="Z1145" s="87"/>
      <c r="AA1145" s="87"/>
      <c r="AB1145" s="87"/>
      <c r="AC1145" s="90" t="str">
        <f t="shared" si="279"/>
        <v>Distrital</v>
      </c>
      <c r="AD1145" s="87" t="s">
        <v>73</v>
      </c>
      <c r="AE1145" s="87"/>
      <c r="AF1145" s="87"/>
      <c r="AG1145" s="87"/>
      <c r="AH1145" s="87"/>
      <c r="AI1145" s="87"/>
      <c r="AJ1145" s="87"/>
      <c r="AK1145" s="87"/>
      <c r="AL1145" s="87"/>
      <c r="AM1145" s="87"/>
      <c r="AN1145" s="90" t="s">
        <v>80</v>
      </c>
      <c r="AO1145" s="90" t="s">
        <v>5135</v>
      </c>
      <c r="AP1145" s="82"/>
      <c r="AQ1145" s="87" t="s">
        <v>59</v>
      </c>
      <c r="AR1145" s="87" t="s">
        <v>80</v>
      </c>
      <c r="AS1145" s="82"/>
      <c r="AT1145" s="87">
        <v>44</v>
      </c>
      <c r="AU1145" s="87">
        <v>29</v>
      </c>
      <c r="AV1145" s="87">
        <f t="shared" si="280"/>
        <v>73</v>
      </c>
      <c r="AW1145" s="87" t="str">
        <f t="shared" si="273"/>
        <v>Accesibilidad Universal, Horarios Acordes, Contenidos adaptados</v>
      </c>
      <c r="AX1145" s="87" t="s">
        <v>246</v>
      </c>
      <c r="AY1145" s="87" t="s">
        <v>213</v>
      </c>
      <c r="AZ1145" s="87" t="s">
        <v>212</v>
      </c>
      <c r="BA1145" s="91" t="s">
        <v>5136</v>
      </c>
      <c r="BB1145" s="84"/>
      <c r="BC1145" s="85"/>
      <c r="BD1145" s="85"/>
    </row>
    <row r="1146" spans="1:56" s="86" customFormat="1" ht="43.5" customHeight="1">
      <c r="A1146" s="78">
        <v>1141</v>
      </c>
      <c r="B1146" s="90" t="s">
        <v>5137</v>
      </c>
      <c r="C1146" s="88">
        <v>45583</v>
      </c>
      <c r="D1146" s="89">
        <v>0.33333333333333331</v>
      </c>
      <c r="E1146" s="87" t="s">
        <v>93</v>
      </c>
      <c r="F1146" s="87" t="s">
        <v>94</v>
      </c>
      <c r="G1146" s="87" t="s">
        <v>62</v>
      </c>
      <c r="H1146" s="90" t="s">
        <v>5138</v>
      </c>
      <c r="I1146" s="90" t="s">
        <v>64</v>
      </c>
      <c r="J1146" s="87" t="s">
        <v>119</v>
      </c>
      <c r="K1146" s="87" t="s">
        <v>5139</v>
      </c>
      <c r="L1146" s="90" t="s">
        <v>98</v>
      </c>
      <c r="M1146" s="91" t="s">
        <v>78</v>
      </c>
      <c r="N1146" s="90" t="s">
        <v>99</v>
      </c>
      <c r="O1146" s="90" t="str">
        <f t="shared" si="277"/>
        <v>Distrital</v>
      </c>
      <c r="P1146" s="87" t="s">
        <v>73</v>
      </c>
      <c r="Q1146" s="87"/>
      <c r="R1146" s="87"/>
      <c r="S1146" s="87"/>
      <c r="T1146" s="87"/>
      <c r="U1146" s="87"/>
      <c r="V1146" s="90" t="str">
        <f t="shared" si="278"/>
        <v>Distrital</v>
      </c>
      <c r="W1146" s="87" t="s">
        <v>73</v>
      </c>
      <c r="X1146" s="87"/>
      <c r="Y1146" s="87"/>
      <c r="Z1146" s="87"/>
      <c r="AA1146" s="87"/>
      <c r="AB1146" s="87"/>
      <c r="AC1146" s="90" t="str">
        <f t="shared" si="279"/>
        <v>Distrital</v>
      </c>
      <c r="AD1146" s="87" t="s">
        <v>73</v>
      </c>
      <c r="AE1146" s="87"/>
      <c r="AF1146" s="87"/>
      <c r="AG1146" s="87"/>
      <c r="AH1146" s="87"/>
      <c r="AI1146" s="87"/>
      <c r="AJ1146" s="87"/>
      <c r="AK1146" s="87"/>
      <c r="AL1146" s="87"/>
      <c r="AM1146" s="87"/>
      <c r="AN1146" s="90" t="s">
        <v>80</v>
      </c>
      <c r="AO1146" s="90" t="s">
        <v>5140</v>
      </c>
      <c r="AP1146" s="82"/>
      <c r="AQ1146" s="87" t="s">
        <v>59</v>
      </c>
      <c r="AR1146" s="87" t="s">
        <v>80</v>
      </c>
      <c r="AS1146" s="82"/>
      <c r="AT1146" s="87">
        <v>222</v>
      </c>
      <c r="AU1146" s="87">
        <v>5</v>
      </c>
      <c r="AV1146" s="87">
        <f t="shared" si="280"/>
        <v>227</v>
      </c>
      <c r="AW1146" s="87"/>
      <c r="AX1146" s="87" t="s">
        <v>211</v>
      </c>
      <c r="AY1146" s="87" t="s">
        <v>246</v>
      </c>
      <c r="AZ1146" s="87" t="s">
        <v>213</v>
      </c>
      <c r="BA1146" s="91" t="s">
        <v>5141</v>
      </c>
      <c r="BB1146" s="84"/>
      <c r="BC1146" s="85"/>
      <c r="BD1146" s="85"/>
    </row>
    <row r="1147" spans="1:56" s="86" customFormat="1" ht="43.5" customHeight="1">
      <c r="A1147" s="87">
        <v>1142</v>
      </c>
      <c r="B1147" s="79" t="s">
        <v>5142</v>
      </c>
      <c r="C1147" s="88">
        <v>45583</v>
      </c>
      <c r="D1147" s="89">
        <v>0.33333333333333331</v>
      </c>
      <c r="E1147" s="87" t="s">
        <v>58</v>
      </c>
      <c r="F1147" s="87" t="s">
        <v>1184</v>
      </c>
      <c r="G1147" s="87" t="s">
        <v>95</v>
      </c>
      <c r="H1147" s="90" t="s">
        <v>5143</v>
      </c>
      <c r="I1147" s="90" t="s">
        <v>118</v>
      </c>
      <c r="J1147" s="87" t="s">
        <v>70</v>
      </c>
      <c r="K1147" s="87" t="s">
        <v>324</v>
      </c>
      <c r="L1147" s="90" t="s">
        <v>5144</v>
      </c>
      <c r="M1147" s="91" t="s">
        <v>2790</v>
      </c>
      <c r="N1147" s="90" t="s">
        <v>2724</v>
      </c>
      <c r="O1147" s="90" t="str">
        <f t="shared" si="277"/>
        <v>Sumapaz</v>
      </c>
      <c r="P1147" s="87" t="s">
        <v>327</v>
      </c>
      <c r="Q1147" s="87"/>
      <c r="R1147" s="87"/>
      <c r="S1147" s="87"/>
      <c r="T1147" s="87"/>
      <c r="U1147" s="87"/>
      <c r="V1147" s="90" t="str">
        <f t="shared" si="278"/>
        <v>Ruralidad</v>
      </c>
      <c r="W1147" s="87" t="s">
        <v>109</v>
      </c>
      <c r="X1147" s="87"/>
      <c r="Y1147" s="87"/>
      <c r="Z1147" s="87"/>
      <c r="AA1147" s="87"/>
      <c r="AB1147" s="87"/>
      <c r="AC1147" s="90" t="str">
        <f t="shared" si="279"/>
        <v>Sumapaz</v>
      </c>
      <c r="AD1147" s="87" t="s">
        <v>327</v>
      </c>
      <c r="AE1147" s="87"/>
      <c r="AF1147" s="87"/>
      <c r="AG1147" s="87"/>
      <c r="AH1147" s="87"/>
      <c r="AI1147" s="87"/>
      <c r="AJ1147" s="87"/>
      <c r="AK1147" s="87"/>
      <c r="AL1147" s="87"/>
      <c r="AM1147" s="87"/>
      <c r="AN1147" s="90" t="s">
        <v>80</v>
      </c>
      <c r="AO1147" s="102" t="s">
        <v>2667</v>
      </c>
      <c r="AP1147" s="82"/>
      <c r="AQ1147" s="87" t="s">
        <v>59</v>
      </c>
      <c r="AR1147" s="87" t="s">
        <v>80</v>
      </c>
      <c r="AS1147" s="82"/>
      <c r="AT1147" s="87">
        <v>5</v>
      </c>
      <c r="AU1147" s="87">
        <v>5</v>
      </c>
      <c r="AV1147" s="87">
        <f t="shared" si="280"/>
        <v>10</v>
      </c>
      <c r="AW1147" s="87" t="str">
        <f t="shared" si="273"/>
        <v>Contenidos adaptados</v>
      </c>
      <c r="AX1147" s="87" t="s">
        <v>212</v>
      </c>
      <c r="AY1147" s="87"/>
      <c r="AZ1147" s="87"/>
      <c r="BA1147" s="91" t="s">
        <v>5145</v>
      </c>
      <c r="BB1147" s="84"/>
      <c r="BC1147" s="85"/>
      <c r="BD1147" s="85"/>
    </row>
    <row r="1148" spans="1:56" s="86" customFormat="1" ht="43.5" customHeight="1">
      <c r="A1148" s="78">
        <v>1143</v>
      </c>
      <c r="B1148" s="79" t="s">
        <v>5146</v>
      </c>
      <c r="C1148" s="88">
        <v>45583</v>
      </c>
      <c r="D1148" s="89">
        <v>0.375</v>
      </c>
      <c r="E1148" s="87" t="s">
        <v>58</v>
      </c>
      <c r="F1148" s="87" t="s">
        <v>1184</v>
      </c>
      <c r="G1148" s="87" t="s">
        <v>62</v>
      </c>
      <c r="H1148" s="90" t="s">
        <v>5147</v>
      </c>
      <c r="I1148" s="90" t="s">
        <v>118</v>
      </c>
      <c r="J1148" s="87" t="s">
        <v>70</v>
      </c>
      <c r="K1148" s="87" t="s">
        <v>324</v>
      </c>
      <c r="L1148" s="91" t="s">
        <v>5128</v>
      </c>
      <c r="M1148" s="91" t="s">
        <v>5128</v>
      </c>
      <c r="N1148" s="91" t="s">
        <v>5128</v>
      </c>
      <c r="O1148" s="90" t="str">
        <f t="shared" si="277"/>
        <v>Antonio Nariño</v>
      </c>
      <c r="P1148" s="87" t="s">
        <v>413</v>
      </c>
      <c r="Q1148" s="87"/>
      <c r="R1148" s="87"/>
      <c r="S1148" s="87"/>
      <c r="T1148" s="87"/>
      <c r="U1148" s="87"/>
      <c r="V1148" s="90" t="str">
        <f t="shared" si="278"/>
        <v>Centro Ampliado</v>
      </c>
      <c r="W1148" s="87" t="s">
        <v>415</v>
      </c>
      <c r="X1148" s="87"/>
      <c r="Y1148" s="87"/>
      <c r="Z1148" s="87"/>
      <c r="AA1148" s="87"/>
      <c r="AB1148" s="87"/>
      <c r="AC1148" s="90" t="str">
        <f t="shared" si="279"/>
        <v>Restrepo</v>
      </c>
      <c r="AD1148" s="87" t="s">
        <v>416</v>
      </c>
      <c r="AE1148" s="87"/>
      <c r="AF1148" s="87"/>
      <c r="AG1148" s="87"/>
      <c r="AH1148" s="87"/>
      <c r="AI1148" s="87"/>
      <c r="AJ1148" s="87"/>
      <c r="AK1148" s="87"/>
      <c r="AL1148" s="87"/>
      <c r="AM1148" s="87"/>
      <c r="AN1148" s="90" t="s">
        <v>5148</v>
      </c>
      <c r="AO1148" s="90" t="s">
        <v>5149</v>
      </c>
      <c r="AP1148" s="82"/>
      <c r="AQ1148" s="87" t="s">
        <v>59</v>
      </c>
      <c r="AR1148" s="87" t="s">
        <v>80</v>
      </c>
      <c r="AS1148" s="82"/>
      <c r="AT1148" s="87">
        <v>7</v>
      </c>
      <c r="AU1148" s="87">
        <v>5</v>
      </c>
      <c r="AV1148" s="87">
        <f t="shared" si="280"/>
        <v>12</v>
      </c>
      <c r="AW1148" s="87" t="str">
        <f t="shared" si="273"/>
        <v>Ninguna</v>
      </c>
      <c r="AX1148" s="87" t="s">
        <v>75</v>
      </c>
      <c r="AY1148" s="87"/>
      <c r="AZ1148" s="87"/>
      <c r="BA1148" s="91" t="s">
        <v>5150</v>
      </c>
      <c r="BB1148" s="84"/>
      <c r="BC1148" s="85"/>
      <c r="BD1148" s="85"/>
    </row>
    <row r="1149" spans="1:56" s="86" customFormat="1" ht="43.5" customHeight="1">
      <c r="A1149" s="87">
        <v>1144</v>
      </c>
      <c r="B1149" s="79" t="s">
        <v>5151</v>
      </c>
      <c r="C1149" s="88">
        <v>45583</v>
      </c>
      <c r="D1149" s="89">
        <v>0.58333333333333337</v>
      </c>
      <c r="E1149" s="87" t="s">
        <v>58</v>
      </c>
      <c r="F1149" s="87" t="s">
        <v>1184</v>
      </c>
      <c r="G1149" s="87" t="s">
        <v>62</v>
      </c>
      <c r="H1149" s="90" t="s">
        <v>5152</v>
      </c>
      <c r="I1149" s="90" t="s">
        <v>118</v>
      </c>
      <c r="J1149" s="87" t="s">
        <v>70</v>
      </c>
      <c r="K1149" s="87" t="s">
        <v>324</v>
      </c>
      <c r="L1149" s="91" t="s">
        <v>5128</v>
      </c>
      <c r="M1149" s="91" t="s">
        <v>5128</v>
      </c>
      <c r="N1149" s="91" t="s">
        <v>5128</v>
      </c>
      <c r="O1149" s="90" t="str">
        <f t="shared" si="277"/>
        <v>Teusaquillo</v>
      </c>
      <c r="P1149" s="87" t="s">
        <v>665</v>
      </c>
      <c r="Q1149" s="87"/>
      <c r="R1149" s="87"/>
      <c r="S1149" s="87"/>
      <c r="T1149" s="87"/>
      <c r="U1149" s="87"/>
      <c r="V1149" s="90" t="str">
        <f t="shared" si="278"/>
        <v>Centro Ampliado</v>
      </c>
      <c r="W1149" s="87" t="s">
        <v>415</v>
      </c>
      <c r="X1149" s="87"/>
      <c r="Y1149" s="87"/>
      <c r="Z1149" s="87"/>
      <c r="AA1149" s="87"/>
      <c r="AB1149" s="87"/>
      <c r="AC1149" s="90" t="str">
        <f t="shared" si="279"/>
        <v>Teusaquillo</v>
      </c>
      <c r="AD1149" s="87" t="s">
        <v>665</v>
      </c>
      <c r="AE1149" s="87"/>
      <c r="AF1149" s="87"/>
      <c r="AG1149" s="87"/>
      <c r="AH1149" s="87"/>
      <c r="AI1149" s="87"/>
      <c r="AJ1149" s="87"/>
      <c r="AK1149" s="87"/>
      <c r="AL1149" s="87"/>
      <c r="AM1149" s="87"/>
      <c r="AN1149" s="90" t="s">
        <v>4223</v>
      </c>
      <c r="AO1149" s="90" t="s">
        <v>5153</v>
      </c>
      <c r="AP1149" s="82"/>
      <c r="AQ1149" s="87" t="s">
        <v>59</v>
      </c>
      <c r="AR1149" s="87" t="s">
        <v>80</v>
      </c>
      <c r="AS1149" s="82"/>
      <c r="AT1149" s="87">
        <v>4</v>
      </c>
      <c r="AU1149" s="87">
        <v>5</v>
      </c>
      <c r="AV1149" s="87">
        <f t="shared" si="280"/>
        <v>9</v>
      </c>
      <c r="AW1149" s="87" t="str">
        <f t="shared" si="273"/>
        <v>Ninguna</v>
      </c>
      <c r="AX1149" s="87" t="s">
        <v>75</v>
      </c>
      <c r="AY1149" s="87"/>
      <c r="AZ1149" s="87"/>
      <c r="BA1149" s="91" t="s">
        <v>5154</v>
      </c>
      <c r="BB1149" s="84"/>
      <c r="BC1149" s="85"/>
      <c r="BD1149" s="85"/>
    </row>
    <row r="1150" spans="1:56" s="86" customFormat="1" ht="34.5" customHeight="1">
      <c r="A1150" s="78">
        <v>1145</v>
      </c>
      <c r="B1150" s="90" t="s">
        <v>5155</v>
      </c>
      <c r="C1150" s="88">
        <v>45583</v>
      </c>
      <c r="D1150" s="89">
        <v>0.625</v>
      </c>
      <c r="E1150" s="87" t="s">
        <v>58</v>
      </c>
      <c r="F1150" s="87" t="s">
        <v>1343</v>
      </c>
      <c r="G1150" s="87" t="s">
        <v>95</v>
      </c>
      <c r="H1150" s="90" t="s">
        <v>5156</v>
      </c>
      <c r="I1150" s="90" t="s">
        <v>118</v>
      </c>
      <c r="J1150" s="87" t="s">
        <v>70</v>
      </c>
      <c r="K1150" s="87" t="s">
        <v>71</v>
      </c>
      <c r="L1150" s="90" t="s">
        <v>1695</v>
      </c>
      <c r="M1150" s="91" t="s">
        <v>1695</v>
      </c>
      <c r="N1150" s="90" t="s">
        <v>1695</v>
      </c>
      <c r="O1150" s="90" t="str">
        <f t="shared" si="277"/>
        <v>Distrital</v>
      </c>
      <c r="P1150" s="87" t="s">
        <v>73</v>
      </c>
      <c r="Q1150" s="87"/>
      <c r="R1150" s="87"/>
      <c r="S1150" s="87"/>
      <c r="T1150" s="87"/>
      <c r="U1150" s="87"/>
      <c r="V1150" s="90" t="str">
        <f t="shared" si="278"/>
        <v>Distrital</v>
      </c>
      <c r="W1150" s="87" t="s">
        <v>73</v>
      </c>
      <c r="X1150" s="87"/>
      <c r="Y1150" s="87"/>
      <c r="Z1150" s="87"/>
      <c r="AA1150" s="87"/>
      <c r="AB1150" s="87"/>
      <c r="AC1150" s="90" t="str">
        <f t="shared" si="279"/>
        <v>Distrital</v>
      </c>
      <c r="AD1150" s="87" t="s">
        <v>73</v>
      </c>
      <c r="AE1150" s="87"/>
      <c r="AF1150" s="87"/>
      <c r="AG1150" s="87"/>
      <c r="AH1150" s="87"/>
      <c r="AI1150" s="87"/>
      <c r="AJ1150" s="87"/>
      <c r="AK1150" s="87"/>
      <c r="AL1150" s="87"/>
      <c r="AM1150" s="87"/>
      <c r="AN1150" s="90" t="s">
        <v>80</v>
      </c>
      <c r="AO1150" s="102" t="s">
        <v>2667</v>
      </c>
      <c r="AP1150" s="82"/>
      <c r="AQ1150" s="87" t="s">
        <v>59</v>
      </c>
      <c r="AR1150" s="87" t="s">
        <v>80</v>
      </c>
      <c r="AS1150" s="82"/>
      <c r="AT1150" s="87">
        <v>0</v>
      </c>
      <c r="AU1150" s="87">
        <v>3</v>
      </c>
      <c r="AV1150" s="87">
        <f t="shared" si="280"/>
        <v>3</v>
      </c>
      <c r="AW1150" s="87" t="str">
        <f>_xlfn.TEXTJOIN(", ",TRUE,$AX1150:$AZ1150)</f>
        <v>Ninguna</v>
      </c>
      <c r="AX1150" s="87" t="s">
        <v>75</v>
      </c>
      <c r="AY1150" s="87"/>
      <c r="AZ1150" s="87"/>
      <c r="BA1150" s="91" t="s">
        <v>5157</v>
      </c>
      <c r="BB1150" s="84"/>
      <c r="BC1150" s="85"/>
      <c r="BD1150" s="85"/>
    </row>
    <row r="1151" spans="1:56" s="86" customFormat="1" ht="43.5" customHeight="1">
      <c r="A1151" s="87">
        <v>1146</v>
      </c>
      <c r="B1151" s="79" t="s">
        <v>5158</v>
      </c>
      <c r="C1151" s="88">
        <v>45583</v>
      </c>
      <c r="D1151" s="89">
        <v>0.58333333333333337</v>
      </c>
      <c r="E1151" s="87" t="s">
        <v>58</v>
      </c>
      <c r="F1151" s="87" t="s">
        <v>1184</v>
      </c>
      <c r="G1151" s="87" t="s">
        <v>95</v>
      </c>
      <c r="H1151" s="90" t="s">
        <v>5159</v>
      </c>
      <c r="I1151" s="90" t="s">
        <v>118</v>
      </c>
      <c r="J1151" s="87" t="s">
        <v>70</v>
      </c>
      <c r="K1151" s="87" t="s">
        <v>324</v>
      </c>
      <c r="L1151" s="91" t="s">
        <v>5160</v>
      </c>
      <c r="M1151" s="91" t="s">
        <v>5161</v>
      </c>
      <c r="N1151" s="91" t="s">
        <v>5162</v>
      </c>
      <c r="O1151" s="90" t="str">
        <f t="shared" si="277"/>
        <v>Usaquén</v>
      </c>
      <c r="P1151" s="87" t="s">
        <v>428</v>
      </c>
      <c r="Q1151" s="87"/>
      <c r="R1151" s="87"/>
      <c r="S1151" s="87"/>
      <c r="T1151" s="87"/>
      <c r="U1151" s="87"/>
      <c r="V1151" s="90" t="str">
        <f t="shared" si="278"/>
        <v>Norte</v>
      </c>
      <c r="W1151" s="87" t="s">
        <v>429</v>
      </c>
      <c r="X1151" s="87"/>
      <c r="Y1151" s="87"/>
      <c r="Z1151" s="87"/>
      <c r="AA1151" s="87"/>
      <c r="AB1151" s="87"/>
      <c r="AC1151" s="90" t="str">
        <f t="shared" si="279"/>
        <v>Usaquén</v>
      </c>
      <c r="AD1151" s="87" t="s">
        <v>428</v>
      </c>
      <c r="AE1151" s="87"/>
      <c r="AF1151" s="87"/>
      <c r="AG1151" s="87"/>
      <c r="AH1151" s="87"/>
      <c r="AI1151" s="87"/>
      <c r="AJ1151" s="87"/>
      <c r="AK1151" s="87"/>
      <c r="AL1151" s="87"/>
      <c r="AM1151" s="87"/>
      <c r="AN1151" s="90" t="s">
        <v>5163</v>
      </c>
      <c r="AO1151" s="90" t="s">
        <v>72</v>
      </c>
      <c r="AP1151" s="82"/>
      <c r="AQ1151" s="87" t="s">
        <v>59</v>
      </c>
      <c r="AR1151" s="87" t="s">
        <v>80</v>
      </c>
      <c r="AS1151" s="82"/>
      <c r="AT1151" s="87">
        <v>5</v>
      </c>
      <c r="AU1151" s="87">
        <v>4</v>
      </c>
      <c r="AV1151" s="87">
        <f t="shared" si="280"/>
        <v>9</v>
      </c>
      <c r="AW1151" s="87" t="str">
        <f t="shared" si="273"/>
        <v>Ninguna</v>
      </c>
      <c r="AX1151" s="87" t="s">
        <v>75</v>
      </c>
      <c r="AY1151" s="87"/>
      <c r="AZ1151" s="87"/>
      <c r="BA1151" s="91" t="s">
        <v>5164</v>
      </c>
      <c r="BB1151" s="84"/>
      <c r="BC1151" s="85"/>
      <c r="BD1151" s="85"/>
    </row>
    <row r="1152" spans="1:56" s="86" customFormat="1" ht="43.5" customHeight="1">
      <c r="A1152" s="78">
        <v>1147</v>
      </c>
      <c r="B1152" s="79" t="s">
        <v>5165</v>
      </c>
      <c r="C1152" s="88">
        <v>45583</v>
      </c>
      <c r="D1152" s="89">
        <v>0.58333333333333337</v>
      </c>
      <c r="E1152" s="87" t="s">
        <v>93</v>
      </c>
      <c r="F1152" s="87" t="s">
        <v>61</v>
      </c>
      <c r="G1152" s="87" t="s">
        <v>62</v>
      </c>
      <c r="H1152" s="90" t="s">
        <v>5166</v>
      </c>
      <c r="I1152" s="90" t="s">
        <v>128</v>
      </c>
      <c r="J1152" s="87" t="s">
        <v>173</v>
      </c>
      <c r="K1152" s="87"/>
      <c r="L1152" s="90" t="s">
        <v>5168</v>
      </c>
      <c r="M1152" s="90" t="s">
        <v>3950</v>
      </c>
      <c r="N1152" s="90" t="s">
        <v>736</v>
      </c>
      <c r="O1152" s="90" t="str">
        <f t="shared" si="277"/>
        <v>Distrital</v>
      </c>
      <c r="P1152" s="87" t="s">
        <v>73</v>
      </c>
      <c r="Q1152" s="87"/>
      <c r="R1152" s="87"/>
      <c r="S1152" s="87"/>
      <c r="T1152" s="87"/>
      <c r="U1152" s="87"/>
      <c r="V1152" s="90" t="str">
        <f t="shared" si="278"/>
        <v>Distrital</v>
      </c>
      <c r="W1152" s="87" t="s">
        <v>73</v>
      </c>
      <c r="X1152" s="87"/>
      <c r="Y1152" s="87"/>
      <c r="Z1152" s="87"/>
      <c r="AA1152" s="87"/>
      <c r="AB1152" s="87"/>
      <c r="AC1152" s="90" t="str">
        <f t="shared" si="279"/>
        <v>Distrital</v>
      </c>
      <c r="AD1152" s="87" t="s">
        <v>73</v>
      </c>
      <c r="AE1152" s="87"/>
      <c r="AF1152" s="87"/>
      <c r="AG1152" s="87"/>
      <c r="AH1152" s="87"/>
      <c r="AI1152" s="87"/>
      <c r="AJ1152" s="87"/>
      <c r="AK1152" s="87"/>
      <c r="AL1152" s="87"/>
      <c r="AM1152" s="87"/>
      <c r="AN1152" s="90" t="s">
        <v>80</v>
      </c>
      <c r="AO1152" s="90" t="s">
        <v>5169</v>
      </c>
      <c r="AP1152" s="82"/>
      <c r="AQ1152" s="87" t="s">
        <v>60</v>
      </c>
      <c r="AR1152" s="87" t="s">
        <v>2854</v>
      </c>
      <c r="AS1152" s="82"/>
      <c r="AT1152" s="87">
        <v>46</v>
      </c>
      <c r="AU1152" s="87">
        <v>16</v>
      </c>
      <c r="AV1152" s="87">
        <f t="shared" si="280"/>
        <v>62</v>
      </c>
      <c r="AW1152" s="87" t="str">
        <f t="shared" si="273"/>
        <v>Lenguaje de señas, Contenidos adaptados</v>
      </c>
      <c r="AX1152" s="87" t="s">
        <v>211</v>
      </c>
      <c r="AY1152" s="87" t="s">
        <v>212</v>
      </c>
      <c r="AZ1152" s="87"/>
      <c r="BA1152" s="91" t="s">
        <v>5170</v>
      </c>
      <c r="BB1152" s="84"/>
      <c r="BC1152" s="85"/>
      <c r="BD1152" s="85"/>
    </row>
    <row r="1153" spans="1:116" s="86" customFormat="1" ht="43.5" customHeight="1">
      <c r="A1153" s="87">
        <v>1148</v>
      </c>
      <c r="B1153" s="90" t="s">
        <v>5171</v>
      </c>
      <c r="C1153" s="88">
        <v>45584</v>
      </c>
      <c r="D1153" s="89">
        <v>0.29166666666666669</v>
      </c>
      <c r="E1153" s="87" t="s">
        <v>58</v>
      </c>
      <c r="F1153" s="87" t="s">
        <v>1437</v>
      </c>
      <c r="G1153" s="87" t="s">
        <v>62</v>
      </c>
      <c r="H1153" s="90" t="s">
        <v>5132</v>
      </c>
      <c r="I1153" s="90" t="s">
        <v>172</v>
      </c>
      <c r="J1153" s="87" t="s">
        <v>173</v>
      </c>
      <c r="K1153" s="87"/>
      <c r="L1153" s="90" t="s">
        <v>1317</v>
      </c>
      <c r="M1153" s="91" t="s">
        <v>72</v>
      </c>
      <c r="N1153" s="90" t="s">
        <v>72</v>
      </c>
      <c r="O1153" s="90" t="str">
        <f t="shared" si="277"/>
        <v>Distrital</v>
      </c>
      <c r="P1153" s="87" t="s">
        <v>73</v>
      </c>
      <c r="Q1153" s="87"/>
      <c r="R1153" s="87"/>
      <c r="S1153" s="87"/>
      <c r="T1153" s="87"/>
      <c r="U1153" s="87"/>
      <c r="V1153" s="90" t="str">
        <f t="shared" si="278"/>
        <v>Distrital</v>
      </c>
      <c r="W1153" s="87" t="s">
        <v>73</v>
      </c>
      <c r="X1153" s="87"/>
      <c r="Y1153" s="87"/>
      <c r="Z1153" s="87"/>
      <c r="AA1153" s="87"/>
      <c r="AB1153" s="87"/>
      <c r="AC1153" s="90" t="str">
        <f t="shared" si="279"/>
        <v>Distrital</v>
      </c>
      <c r="AD1153" s="87" t="s">
        <v>73</v>
      </c>
      <c r="AE1153" s="87"/>
      <c r="AF1153" s="87"/>
      <c r="AG1153" s="87"/>
      <c r="AH1153" s="87"/>
      <c r="AI1153" s="87"/>
      <c r="AJ1153" s="87"/>
      <c r="AK1153" s="87"/>
      <c r="AL1153" s="87"/>
      <c r="AM1153" s="87"/>
      <c r="AN1153" s="90" t="s">
        <v>80</v>
      </c>
      <c r="AO1153" s="90" t="s">
        <v>5135</v>
      </c>
      <c r="AP1153" s="82"/>
      <c r="AQ1153" s="87" t="s">
        <v>59</v>
      </c>
      <c r="AR1153" s="87" t="s">
        <v>80</v>
      </c>
      <c r="AS1153" s="82"/>
      <c r="AT1153" s="87">
        <v>44</v>
      </c>
      <c r="AU1153" s="87">
        <v>26</v>
      </c>
      <c r="AV1153" s="87">
        <f t="shared" si="280"/>
        <v>70</v>
      </c>
      <c r="AW1153" s="87" t="str">
        <f t="shared" si="273"/>
        <v>Accesibilidad Universal, Horarios Acordes, Contenidos adaptados</v>
      </c>
      <c r="AX1153" s="87" t="s">
        <v>246</v>
      </c>
      <c r="AY1153" s="87" t="s">
        <v>213</v>
      </c>
      <c r="AZ1153" s="87" t="s">
        <v>212</v>
      </c>
      <c r="BA1153" s="91" t="s">
        <v>5172</v>
      </c>
      <c r="BB1153" s="84"/>
      <c r="BC1153" s="85"/>
      <c r="BD1153" s="85"/>
    </row>
    <row r="1154" spans="1:116" s="86" customFormat="1" ht="43.5" customHeight="1">
      <c r="A1154" s="78">
        <v>1149</v>
      </c>
      <c r="B1154" s="90" t="s">
        <v>5173</v>
      </c>
      <c r="C1154" s="88">
        <v>45585</v>
      </c>
      <c r="D1154" s="89">
        <v>0.29166666666666669</v>
      </c>
      <c r="E1154" s="87" t="s">
        <v>58</v>
      </c>
      <c r="F1154" s="87" t="s">
        <v>1437</v>
      </c>
      <c r="G1154" s="87" t="s">
        <v>62</v>
      </c>
      <c r="H1154" s="90" t="s">
        <v>5132</v>
      </c>
      <c r="I1154" s="90" t="s">
        <v>172</v>
      </c>
      <c r="J1154" s="87" t="s">
        <v>173</v>
      </c>
      <c r="K1154" s="87"/>
      <c r="L1154" s="90" t="s">
        <v>1317</v>
      </c>
      <c r="M1154" s="91" t="s">
        <v>72</v>
      </c>
      <c r="N1154" s="90" t="s">
        <v>72</v>
      </c>
      <c r="O1154" s="90" t="str">
        <f t="shared" si="277"/>
        <v>Distrital</v>
      </c>
      <c r="P1154" s="87" t="s">
        <v>73</v>
      </c>
      <c r="Q1154" s="87"/>
      <c r="R1154" s="87"/>
      <c r="S1154" s="87"/>
      <c r="T1154" s="87"/>
      <c r="U1154" s="87"/>
      <c r="V1154" s="90" t="str">
        <f t="shared" si="278"/>
        <v>Distrital</v>
      </c>
      <c r="W1154" s="87" t="s">
        <v>73</v>
      </c>
      <c r="X1154" s="87"/>
      <c r="Y1154" s="87"/>
      <c r="Z1154" s="87"/>
      <c r="AA1154" s="87"/>
      <c r="AB1154" s="87"/>
      <c r="AC1154" s="90" t="str">
        <f t="shared" si="279"/>
        <v>Distrital</v>
      </c>
      <c r="AD1154" s="87" t="s">
        <v>73</v>
      </c>
      <c r="AE1154" s="87"/>
      <c r="AF1154" s="87"/>
      <c r="AG1154" s="87"/>
      <c r="AH1154" s="87"/>
      <c r="AI1154" s="87"/>
      <c r="AJ1154" s="87"/>
      <c r="AK1154" s="87"/>
      <c r="AL1154" s="87"/>
      <c r="AM1154" s="87"/>
      <c r="AN1154" s="90" t="s">
        <v>80</v>
      </c>
      <c r="AO1154" s="90" t="s">
        <v>5135</v>
      </c>
      <c r="AP1154" s="82"/>
      <c r="AQ1154" s="87" t="s">
        <v>59</v>
      </c>
      <c r="AR1154" s="87" t="s">
        <v>80</v>
      </c>
      <c r="AS1154" s="82"/>
      <c r="AT1154" s="87">
        <v>44</v>
      </c>
      <c r="AU1154" s="87">
        <v>22</v>
      </c>
      <c r="AV1154" s="87">
        <f t="shared" si="280"/>
        <v>66</v>
      </c>
      <c r="AW1154" s="87" t="str">
        <f t="shared" si="273"/>
        <v>Accesibilidad Universal, Horarios Acordes, Contenidos adaptados</v>
      </c>
      <c r="AX1154" s="87" t="s">
        <v>246</v>
      </c>
      <c r="AY1154" s="87" t="s">
        <v>213</v>
      </c>
      <c r="AZ1154" s="87" t="s">
        <v>212</v>
      </c>
      <c r="BA1154" s="91" t="s">
        <v>5174</v>
      </c>
      <c r="BB1154" s="84"/>
      <c r="BC1154" s="85"/>
      <c r="BD1154" s="85"/>
    </row>
    <row r="1155" spans="1:116" s="86" customFormat="1" ht="43.5" customHeight="1">
      <c r="A1155" s="87">
        <v>1150</v>
      </c>
      <c r="B1155" s="90" t="s">
        <v>5175</v>
      </c>
      <c r="C1155" s="88">
        <v>45585</v>
      </c>
      <c r="D1155" s="89">
        <v>0.41666666666666669</v>
      </c>
      <c r="E1155" s="87" t="s">
        <v>58</v>
      </c>
      <c r="F1155" s="87" t="s">
        <v>116</v>
      </c>
      <c r="G1155" s="87" t="s">
        <v>62</v>
      </c>
      <c r="H1155" s="90" t="s">
        <v>5176</v>
      </c>
      <c r="I1155" s="90" t="s">
        <v>118</v>
      </c>
      <c r="J1155" s="87" t="s">
        <v>173</v>
      </c>
      <c r="K1155" s="87"/>
      <c r="L1155" s="90" t="s">
        <v>5177</v>
      </c>
      <c r="M1155" s="91" t="s">
        <v>5178</v>
      </c>
      <c r="N1155" s="90" t="s">
        <v>5179</v>
      </c>
      <c r="O1155" s="90" t="str">
        <f t="shared" si="277"/>
        <v>Engativá</v>
      </c>
      <c r="P1155" s="87" t="s">
        <v>123</v>
      </c>
      <c r="Q1155" s="87"/>
      <c r="R1155" s="87"/>
      <c r="S1155" s="87"/>
      <c r="T1155" s="87"/>
      <c r="U1155" s="87"/>
      <c r="V1155" s="90" t="str">
        <f t="shared" si="278"/>
        <v>Occidente</v>
      </c>
      <c r="W1155" s="87" t="s">
        <v>124</v>
      </c>
      <c r="X1155" s="87"/>
      <c r="Y1155" s="87"/>
      <c r="Z1155" s="87"/>
      <c r="AA1155" s="87"/>
      <c r="AB1155" s="87"/>
      <c r="AC1155" s="90" t="str">
        <f t="shared" si="279"/>
        <v>Engativá</v>
      </c>
      <c r="AD1155" s="87" t="s">
        <v>123</v>
      </c>
      <c r="AE1155" s="87"/>
      <c r="AF1155" s="87"/>
      <c r="AG1155" s="87"/>
      <c r="AH1155" s="87"/>
      <c r="AI1155" s="87"/>
      <c r="AJ1155" s="87"/>
      <c r="AK1155" s="87"/>
      <c r="AL1155" s="87"/>
      <c r="AM1155" s="87"/>
      <c r="AN1155" s="90" t="s">
        <v>2672</v>
      </c>
      <c r="AO1155" s="90" t="s">
        <v>5180</v>
      </c>
      <c r="AP1155" s="82"/>
      <c r="AQ1155" s="87" t="s">
        <v>59</v>
      </c>
      <c r="AR1155" s="87" t="s">
        <v>80</v>
      </c>
      <c r="AS1155" s="82"/>
      <c r="AT1155" s="87">
        <v>154</v>
      </c>
      <c r="AU1155" s="87">
        <v>5</v>
      </c>
      <c r="AV1155" s="87">
        <f t="shared" si="280"/>
        <v>159</v>
      </c>
      <c r="AW1155" s="87" t="str">
        <f t="shared" si="273"/>
        <v>Accesibilidad Universal</v>
      </c>
      <c r="AX1155" s="87" t="s">
        <v>246</v>
      </c>
      <c r="AY1155" s="87"/>
      <c r="AZ1155" s="87"/>
      <c r="BA1155" s="91" t="s">
        <v>5181</v>
      </c>
      <c r="BB1155" s="84"/>
      <c r="BC1155" s="85"/>
      <c r="BD1155" s="85"/>
    </row>
    <row r="1156" spans="1:116" s="86" customFormat="1" ht="43.5" customHeight="1">
      <c r="A1156" s="78">
        <v>1151</v>
      </c>
      <c r="B1156" s="90" t="s">
        <v>5182</v>
      </c>
      <c r="C1156" s="88">
        <v>45586</v>
      </c>
      <c r="D1156" s="89">
        <v>0.29166666666666669</v>
      </c>
      <c r="E1156" s="87" t="s">
        <v>58</v>
      </c>
      <c r="F1156" s="87" t="s">
        <v>1437</v>
      </c>
      <c r="G1156" s="87" t="s">
        <v>62</v>
      </c>
      <c r="H1156" s="90" t="s">
        <v>5132</v>
      </c>
      <c r="I1156" s="90" t="s">
        <v>172</v>
      </c>
      <c r="J1156" s="87" t="s">
        <v>173</v>
      </c>
      <c r="K1156" s="87"/>
      <c r="L1156" s="90" t="s">
        <v>1317</v>
      </c>
      <c r="M1156" s="91" t="s">
        <v>72</v>
      </c>
      <c r="N1156" s="90" t="s">
        <v>72</v>
      </c>
      <c r="O1156" s="90" t="str">
        <f t="shared" si="277"/>
        <v>Distrital</v>
      </c>
      <c r="P1156" s="87" t="s">
        <v>73</v>
      </c>
      <c r="Q1156" s="87"/>
      <c r="R1156" s="87"/>
      <c r="S1156" s="87"/>
      <c r="T1156" s="87"/>
      <c r="U1156" s="87"/>
      <c r="V1156" s="90" t="str">
        <f t="shared" si="278"/>
        <v>Distrital</v>
      </c>
      <c r="W1156" s="87" t="s">
        <v>73</v>
      </c>
      <c r="X1156" s="87"/>
      <c r="Y1156" s="87"/>
      <c r="Z1156" s="87"/>
      <c r="AA1156" s="87"/>
      <c r="AB1156" s="87"/>
      <c r="AC1156" s="90" t="str">
        <f t="shared" si="279"/>
        <v>Distrital</v>
      </c>
      <c r="AD1156" s="87" t="s">
        <v>73</v>
      </c>
      <c r="AE1156" s="87"/>
      <c r="AF1156" s="87"/>
      <c r="AG1156" s="87"/>
      <c r="AH1156" s="87"/>
      <c r="AI1156" s="87"/>
      <c r="AJ1156" s="87"/>
      <c r="AK1156" s="87"/>
      <c r="AL1156" s="87"/>
      <c r="AM1156" s="87"/>
      <c r="AN1156" s="90" t="s">
        <v>80</v>
      </c>
      <c r="AO1156" s="90" t="s">
        <v>5135</v>
      </c>
      <c r="AP1156" s="82"/>
      <c r="AQ1156" s="87" t="s">
        <v>59</v>
      </c>
      <c r="AR1156" s="87" t="s">
        <v>80</v>
      </c>
      <c r="AS1156" s="82"/>
      <c r="AT1156" s="87">
        <v>46</v>
      </c>
      <c r="AU1156" s="87">
        <v>21</v>
      </c>
      <c r="AV1156" s="87">
        <f t="shared" si="280"/>
        <v>67</v>
      </c>
      <c r="AW1156" s="87" t="str">
        <f t="shared" si="273"/>
        <v>Accesibilidad Universal, Horarios Acordes, Contenidos adaptados</v>
      </c>
      <c r="AX1156" s="87" t="s">
        <v>246</v>
      </c>
      <c r="AY1156" s="87" t="s">
        <v>213</v>
      </c>
      <c r="AZ1156" s="87" t="s">
        <v>212</v>
      </c>
      <c r="BA1156" s="91" t="s">
        <v>5181</v>
      </c>
      <c r="BB1156" s="84"/>
      <c r="BC1156" s="85"/>
      <c r="BD1156" s="85"/>
    </row>
    <row r="1157" spans="1:116" s="86" customFormat="1" ht="43.5" customHeight="1">
      <c r="A1157" s="87">
        <v>1152</v>
      </c>
      <c r="B1157" s="90" t="s">
        <v>5183</v>
      </c>
      <c r="C1157" s="88">
        <v>45586</v>
      </c>
      <c r="D1157" s="89">
        <v>0.375</v>
      </c>
      <c r="E1157" s="87" t="s">
        <v>58</v>
      </c>
      <c r="F1157" s="87" t="s">
        <v>149</v>
      </c>
      <c r="G1157" s="87" t="s">
        <v>62</v>
      </c>
      <c r="H1157" s="90" t="s">
        <v>5184</v>
      </c>
      <c r="I1157" s="90" t="s">
        <v>118</v>
      </c>
      <c r="J1157" s="87" t="s">
        <v>173</v>
      </c>
      <c r="K1157" s="87"/>
      <c r="L1157" s="90" t="s">
        <v>5185</v>
      </c>
      <c r="M1157" s="91" t="s">
        <v>5186</v>
      </c>
      <c r="N1157" s="90" t="s">
        <v>5187</v>
      </c>
      <c r="O1157" s="90" t="str">
        <f t="shared" si="133"/>
        <v>Puente Aranda</v>
      </c>
      <c r="P1157" s="87" t="s">
        <v>823</v>
      </c>
      <c r="Q1157" s="87"/>
      <c r="R1157" s="87"/>
      <c r="S1157" s="87"/>
      <c r="T1157" s="87"/>
      <c r="U1157" s="87"/>
      <c r="V1157" s="90" t="str">
        <f t="shared" si="137"/>
        <v>Centro Ampliado</v>
      </c>
      <c r="W1157" s="87" t="s">
        <v>415</v>
      </c>
      <c r="X1157" s="87"/>
      <c r="Y1157" s="87"/>
      <c r="Z1157" s="87"/>
      <c r="AA1157" s="87"/>
      <c r="AB1157" s="87"/>
      <c r="AC1157" s="90" t="str">
        <f t="shared" si="138"/>
        <v>Puente Aranda</v>
      </c>
      <c r="AD1157" s="87" t="s">
        <v>823</v>
      </c>
      <c r="AE1157" s="87"/>
      <c r="AF1157" s="87"/>
      <c r="AG1157" s="87"/>
      <c r="AH1157" s="87"/>
      <c r="AI1157" s="87"/>
      <c r="AJ1157" s="87"/>
      <c r="AK1157" s="87"/>
      <c r="AL1157" s="87"/>
      <c r="AM1157" s="87"/>
      <c r="AN1157" s="90" t="s">
        <v>5188</v>
      </c>
      <c r="AO1157" s="90" t="s">
        <v>5189</v>
      </c>
      <c r="AP1157" s="82"/>
      <c r="AQ1157" s="87" t="s">
        <v>59</v>
      </c>
      <c r="AR1157" s="87" t="s">
        <v>80</v>
      </c>
      <c r="AS1157" s="82"/>
      <c r="AT1157" s="87">
        <v>39</v>
      </c>
      <c r="AU1157" s="87">
        <v>4</v>
      </c>
      <c r="AV1157" s="87">
        <f t="shared" ref="AV1157" si="281">AT1157+AU1157</f>
        <v>43</v>
      </c>
      <c r="AW1157" s="87" t="str">
        <f t="shared" si="273"/>
        <v>Ninguna</v>
      </c>
      <c r="AX1157" s="87" t="s">
        <v>75</v>
      </c>
      <c r="AY1157" s="87"/>
      <c r="AZ1157" s="87"/>
      <c r="BA1157" s="91" t="s">
        <v>5190</v>
      </c>
      <c r="BB1157" s="84"/>
      <c r="BC1157" s="85"/>
      <c r="BD1157" s="85"/>
    </row>
    <row r="1158" spans="1:116" s="86" customFormat="1" ht="40.5" customHeight="1">
      <c r="A1158" s="78">
        <v>1153</v>
      </c>
      <c r="B1158" s="90" t="s">
        <v>5191</v>
      </c>
      <c r="C1158" s="88">
        <v>45586</v>
      </c>
      <c r="D1158" s="89">
        <v>0.58333333333333337</v>
      </c>
      <c r="E1158" s="87" t="s">
        <v>58</v>
      </c>
      <c r="F1158" s="87" t="s">
        <v>1184</v>
      </c>
      <c r="G1158" s="87" t="s">
        <v>62</v>
      </c>
      <c r="H1158" s="90" t="s">
        <v>5192</v>
      </c>
      <c r="I1158" s="90" t="s">
        <v>118</v>
      </c>
      <c r="J1158" s="87" t="s">
        <v>70</v>
      </c>
      <c r="K1158" s="87" t="s">
        <v>71</v>
      </c>
      <c r="L1158" s="90" t="s">
        <v>4881</v>
      </c>
      <c r="M1158" s="91" t="s">
        <v>2765</v>
      </c>
      <c r="N1158" s="90" t="s">
        <v>2016</v>
      </c>
      <c r="O1158" s="90" t="str">
        <f>_xlfn.TEXTJOIN(", ",TRUE,$P1158:$T1158)</f>
        <v>Bosa</v>
      </c>
      <c r="P1158" s="87" t="s">
        <v>472</v>
      </c>
      <c r="Q1158" s="87"/>
      <c r="R1158" s="87"/>
      <c r="S1158" s="87"/>
      <c r="T1158" s="87"/>
      <c r="U1158" s="87"/>
      <c r="V1158" s="90" t="str">
        <f>_xlfn.TEXTJOIN(", ",TRUE,$W1158:$AB1158)</f>
        <v>Suroccidente</v>
      </c>
      <c r="W1158" s="87" t="s">
        <v>474</v>
      </c>
      <c r="X1158" s="87"/>
      <c r="Y1158" s="87"/>
      <c r="Z1158" s="87"/>
      <c r="AA1158" s="87"/>
      <c r="AB1158" s="87"/>
      <c r="AC1158" s="90" t="str">
        <f>_xlfn.TEXTJOIN(", ",TRUE,$AD1158:$AM1158)</f>
        <v>Bosa</v>
      </c>
      <c r="AD1158" s="87" t="s">
        <v>472</v>
      </c>
      <c r="AE1158" s="87"/>
      <c r="AF1158" s="87"/>
      <c r="AG1158" s="87"/>
      <c r="AH1158" s="87"/>
      <c r="AI1158" s="87"/>
      <c r="AJ1158" s="87"/>
      <c r="AK1158" s="87"/>
      <c r="AL1158" s="87"/>
      <c r="AM1158" s="87"/>
      <c r="AN1158" s="90" t="s">
        <v>472</v>
      </c>
      <c r="AO1158" s="90" t="s">
        <v>4882</v>
      </c>
      <c r="AP1158" s="82"/>
      <c r="AQ1158" s="87" t="s">
        <v>59</v>
      </c>
      <c r="AR1158" s="87" t="s">
        <v>80</v>
      </c>
      <c r="AS1158" s="82"/>
      <c r="AT1158" s="87">
        <v>7</v>
      </c>
      <c r="AU1158" s="87">
        <v>3</v>
      </c>
      <c r="AV1158" s="87">
        <f>AT1158+AU1158</f>
        <v>10</v>
      </c>
      <c r="AW1158" s="87" t="str">
        <f>_xlfn.TEXTJOIN(", ",TRUE,$AX1158:$AZ1158)</f>
        <v>Ninguna</v>
      </c>
      <c r="AX1158" s="87" t="s">
        <v>75</v>
      </c>
      <c r="AY1158" s="87"/>
      <c r="AZ1158" s="87"/>
      <c r="BA1158" s="91" t="s">
        <v>5193</v>
      </c>
      <c r="BB1158" s="84"/>
      <c r="BC1158" s="85"/>
      <c r="BD1158" s="85"/>
    </row>
    <row r="1159" spans="1:116" s="86" customFormat="1" ht="43.5" customHeight="1">
      <c r="A1159" s="87">
        <v>1154</v>
      </c>
      <c r="B1159" s="90" t="s">
        <v>5194</v>
      </c>
      <c r="C1159" s="88">
        <v>45586</v>
      </c>
      <c r="D1159" s="89">
        <v>0.58333333333333337</v>
      </c>
      <c r="E1159" s="87" t="s">
        <v>58</v>
      </c>
      <c r="F1159" s="87" t="s">
        <v>1769</v>
      </c>
      <c r="G1159" s="87" t="s">
        <v>62</v>
      </c>
      <c r="H1159" s="90" t="s">
        <v>5195</v>
      </c>
      <c r="I1159" s="90" t="s">
        <v>118</v>
      </c>
      <c r="J1159" s="87" t="s">
        <v>119</v>
      </c>
      <c r="K1159" s="87" t="s">
        <v>1322</v>
      </c>
      <c r="L1159" s="90" t="s">
        <v>5196</v>
      </c>
      <c r="M1159" s="91" t="s">
        <v>72</v>
      </c>
      <c r="N1159" s="90" t="s">
        <v>5197</v>
      </c>
      <c r="O1159" s="90" t="str">
        <f t="shared" si="133"/>
        <v>Tunjuelito</v>
      </c>
      <c r="P1159" s="87" t="s">
        <v>618</v>
      </c>
      <c r="Q1159" s="87"/>
      <c r="R1159" s="87"/>
      <c r="S1159" s="87"/>
      <c r="T1159" s="87"/>
      <c r="U1159" s="87"/>
      <c r="V1159" s="90" t="str">
        <f t="shared" si="137"/>
        <v>Suroriente</v>
      </c>
      <c r="W1159" s="87" t="s">
        <v>108</v>
      </c>
      <c r="X1159" s="87"/>
      <c r="Y1159" s="87"/>
      <c r="Z1159" s="87"/>
      <c r="AA1159" s="87"/>
      <c r="AB1159" s="87"/>
      <c r="AC1159" s="90" t="str">
        <f t="shared" si="138"/>
        <v>Tunjuelito</v>
      </c>
      <c r="AD1159" s="87" t="s">
        <v>618</v>
      </c>
      <c r="AE1159" s="87"/>
      <c r="AF1159" s="87"/>
      <c r="AG1159" s="87"/>
      <c r="AH1159" s="87"/>
      <c r="AI1159" s="87"/>
      <c r="AJ1159" s="87"/>
      <c r="AK1159" s="87"/>
      <c r="AL1159" s="87"/>
      <c r="AM1159" s="87"/>
      <c r="AN1159" s="90" t="s">
        <v>80</v>
      </c>
      <c r="AO1159" s="90" t="s">
        <v>5198</v>
      </c>
      <c r="AP1159" s="82"/>
      <c r="AQ1159" s="87" t="s">
        <v>59</v>
      </c>
      <c r="AR1159" s="87" t="s">
        <v>80</v>
      </c>
      <c r="AS1159" s="82"/>
      <c r="AT1159" s="87">
        <v>13</v>
      </c>
      <c r="AU1159" s="87">
        <v>2</v>
      </c>
      <c r="AV1159" s="87">
        <f t="shared" ref="AV1159" si="282">AT1159+AU1159</f>
        <v>15</v>
      </c>
      <c r="AW1159" s="87" t="str">
        <f t="shared" ref="AW1159:AW1166" si="283">_xlfn.TEXTJOIN(", ",TRUE,$AX1159:$AZ1159)</f>
        <v>Horarios Acordes</v>
      </c>
      <c r="AX1159" s="87" t="s">
        <v>213</v>
      </c>
      <c r="AY1159" s="87"/>
      <c r="AZ1159" s="87"/>
      <c r="BA1159" s="91" t="s">
        <v>5199</v>
      </c>
      <c r="BB1159" s="84"/>
      <c r="BC1159" s="85"/>
      <c r="BD1159" s="85"/>
    </row>
    <row r="1160" spans="1:116" s="86" customFormat="1" ht="43.5" customHeight="1">
      <c r="A1160" s="78">
        <v>1155</v>
      </c>
      <c r="B1160" s="79" t="s">
        <v>5200</v>
      </c>
      <c r="C1160" s="88">
        <v>45586</v>
      </c>
      <c r="D1160" s="89">
        <v>0.70833333333333337</v>
      </c>
      <c r="E1160" s="87" t="s">
        <v>58</v>
      </c>
      <c r="F1160" s="87" t="s">
        <v>116</v>
      </c>
      <c r="G1160" s="87" t="s">
        <v>95</v>
      </c>
      <c r="H1160" s="90" t="s">
        <v>5201</v>
      </c>
      <c r="I1160" s="90" t="s">
        <v>118</v>
      </c>
      <c r="J1160" s="87" t="s">
        <v>119</v>
      </c>
      <c r="K1160" s="87" t="s">
        <v>1322</v>
      </c>
      <c r="L1160" s="90" t="s">
        <v>5202</v>
      </c>
      <c r="M1160" s="90" t="s">
        <v>5203</v>
      </c>
      <c r="N1160" s="90" t="s">
        <v>5204</v>
      </c>
      <c r="O1160" s="90" t="str">
        <f>_xlfn.TEXTJOIN(", ",TRUE,$P1160:$T1160)</f>
        <v>Fontibón</v>
      </c>
      <c r="P1160" s="87" t="s">
        <v>420</v>
      </c>
      <c r="Q1160" s="87"/>
      <c r="R1160" s="87"/>
      <c r="S1160" s="87"/>
      <c r="T1160" s="87"/>
      <c r="U1160" s="87"/>
      <c r="V1160" s="90" t="str">
        <f>_xlfn.TEXTJOIN(", ",TRUE,$W1160:$AB1160)</f>
        <v>Occidente</v>
      </c>
      <c r="W1160" s="87" t="s">
        <v>124</v>
      </c>
      <c r="X1160" s="87"/>
      <c r="Y1160" s="87"/>
      <c r="Z1160" s="87"/>
      <c r="AA1160" s="87"/>
      <c r="AB1160" s="87"/>
      <c r="AC1160" s="90" t="str">
        <f>_xlfn.TEXTJOIN(", ",TRUE,$AD1160:$AM1160)</f>
        <v>Fontibón</v>
      </c>
      <c r="AD1160" s="87" t="s">
        <v>420</v>
      </c>
      <c r="AE1160" s="87"/>
      <c r="AF1160" s="87"/>
      <c r="AG1160" s="87"/>
      <c r="AH1160" s="87"/>
      <c r="AI1160" s="87"/>
      <c r="AJ1160" s="87"/>
      <c r="AK1160" s="87"/>
      <c r="AL1160" s="87"/>
      <c r="AM1160" s="87"/>
      <c r="AN1160" s="90" t="s">
        <v>80</v>
      </c>
      <c r="AO1160" s="102" t="s">
        <v>2667</v>
      </c>
      <c r="AP1160" s="82"/>
      <c r="AQ1160" s="87" t="s">
        <v>59</v>
      </c>
      <c r="AR1160" s="87" t="s">
        <v>80</v>
      </c>
      <c r="AS1160" s="82"/>
      <c r="AT1160" s="87">
        <v>10</v>
      </c>
      <c r="AU1160" s="87">
        <v>3</v>
      </c>
      <c r="AV1160" s="87">
        <f>AT1160+AU1160</f>
        <v>13</v>
      </c>
      <c r="AW1160" s="87" t="str">
        <f t="shared" si="283"/>
        <v>Contenidos adaptados</v>
      </c>
      <c r="AX1160" s="87" t="s">
        <v>212</v>
      </c>
      <c r="AY1160" s="87"/>
      <c r="AZ1160" s="87"/>
      <c r="BA1160" s="91" t="s">
        <v>5205</v>
      </c>
      <c r="BB1160" s="84"/>
      <c r="BC1160" s="85"/>
      <c r="BD1160" s="85"/>
      <c r="BE1160" s="87"/>
      <c r="BF1160" s="79"/>
      <c r="BG1160" s="88"/>
      <c r="BH1160" s="89"/>
      <c r="BI1160" s="87"/>
      <c r="BJ1160" s="87"/>
      <c r="BK1160" s="87"/>
      <c r="BL1160" s="87"/>
      <c r="BM1160" s="87"/>
      <c r="BN1160" s="87"/>
      <c r="BO1160" s="87"/>
      <c r="BP1160" s="90"/>
      <c r="BQ1160" s="90"/>
      <c r="BR1160" s="87"/>
      <c r="BS1160" s="90"/>
      <c r="BT1160" s="87"/>
      <c r="BU1160" s="87"/>
      <c r="BV1160" s="87"/>
      <c r="BW1160" s="87"/>
      <c r="BX1160" s="87"/>
      <c r="BY1160" s="87"/>
      <c r="BZ1160" s="87"/>
      <c r="CA1160" s="87"/>
      <c r="CB1160" s="87"/>
      <c r="CC1160" s="87"/>
      <c r="CD1160" s="87"/>
      <c r="CE1160" s="87"/>
      <c r="CH1160" s="87"/>
      <c r="CI1160" s="87"/>
      <c r="CJ1160" s="87"/>
      <c r="CK1160" s="87"/>
      <c r="CL1160" s="87"/>
      <c r="CM1160" s="87"/>
      <c r="CN1160" s="87"/>
      <c r="CO1160" s="87"/>
      <c r="CP1160" s="87"/>
      <c r="CQ1160" s="87"/>
      <c r="CR1160" s="87"/>
      <c r="CS1160" s="87"/>
      <c r="CT1160" s="87"/>
      <c r="CU1160" s="87"/>
      <c r="CV1160" s="87"/>
      <c r="CW1160" s="87"/>
      <c r="CX1160" s="87"/>
      <c r="CY1160" s="87"/>
      <c r="CZ1160" s="87"/>
      <c r="DA1160" s="87"/>
      <c r="DB1160" s="87"/>
      <c r="DC1160" s="87"/>
      <c r="DD1160" s="87"/>
      <c r="DE1160" s="87"/>
      <c r="DF1160" s="87"/>
      <c r="DG1160" s="87"/>
      <c r="DH1160" s="87"/>
      <c r="DI1160" s="87"/>
      <c r="DJ1160" s="90"/>
      <c r="DK1160" s="90"/>
      <c r="DL1160" s="90"/>
    </row>
    <row r="1161" spans="1:116" s="86" customFormat="1" ht="43.5" customHeight="1">
      <c r="A1161" s="87">
        <v>1156</v>
      </c>
      <c r="B1161" s="90" t="s">
        <v>5206</v>
      </c>
      <c r="C1161" s="88">
        <v>45587</v>
      </c>
      <c r="D1161" s="89">
        <v>0.35416666666666669</v>
      </c>
      <c r="E1161" s="87" t="s">
        <v>58</v>
      </c>
      <c r="F1161" s="87" t="s">
        <v>149</v>
      </c>
      <c r="G1161" s="87" t="s">
        <v>62</v>
      </c>
      <c r="H1161" s="90" t="s">
        <v>5207</v>
      </c>
      <c r="I1161" s="90" t="s">
        <v>118</v>
      </c>
      <c r="J1161" s="87" t="s">
        <v>173</v>
      </c>
      <c r="K1161" s="87"/>
      <c r="L1161" s="90" t="s">
        <v>72</v>
      </c>
      <c r="M1161" s="91" t="s">
        <v>72</v>
      </c>
      <c r="N1161" s="90" t="s">
        <v>3042</v>
      </c>
      <c r="O1161" s="90" t="str">
        <f>_xlfn.TEXTJOIN(", ",TRUE,$P1161:$T1161)</f>
        <v>Distrital</v>
      </c>
      <c r="P1161" s="87" t="s">
        <v>73</v>
      </c>
      <c r="Q1161" s="87"/>
      <c r="R1161" s="87"/>
      <c r="S1161" s="87"/>
      <c r="T1161" s="87"/>
      <c r="U1161" s="87"/>
      <c r="V1161" s="90" t="str">
        <f t="shared" si="137"/>
        <v>Distrital</v>
      </c>
      <c r="W1161" s="87" t="s">
        <v>73</v>
      </c>
      <c r="X1161" s="87"/>
      <c r="Y1161" s="87"/>
      <c r="Z1161" s="87"/>
      <c r="AA1161" s="87"/>
      <c r="AB1161" s="87"/>
      <c r="AC1161" s="90" t="str">
        <f t="shared" si="138"/>
        <v>Distrital</v>
      </c>
      <c r="AD1161" s="87" t="s">
        <v>73</v>
      </c>
      <c r="AE1161" s="87"/>
      <c r="AF1161" s="87"/>
      <c r="AG1161" s="87"/>
      <c r="AH1161" s="87"/>
      <c r="AI1161" s="87"/>
      <c r="AJ1161" s="87"/>
      <c r="AK1161" s="87"/>
      <c r="AL1161" s="87"/>
      <c r="AM1161" s="87"/>
      <c r="AN1161" s="90" t="s">
        <v>80</v>
      </c>
      <c r="AO1161" s="90" t="s">
        <v>5208</v>
      </c>
      <c r="AP1161" s="82"/>
      <c r="AQ1161" s="87" t="s">
        <v>59</v>
      </c>
      <c r="AR1161" s="87" t="s">
        <v>80</v>
      </c>
      <c r="AS1161" s="82"/>
      <c r="AT1161" s="87">
        <v>21</v>
      </c>
      <c r="AU1161" s="87">
        <v>13</v>
      </c>
      <c r="AV1161" s="87">
        <f t="shared" ref="AV1161:AV1162" si="284">AT1161+AU1161</f>
        <v>34</v>
      </c>
      <c r="AW1161" s="87" t="str">
        <f t="shared" si="283"/>
        <v>No Aplica</v>
      </c>
      <c r="AX1161" s="87" t="s">
        <v>78</v>
      </c>
      <c r="AY1161" s="87"/>
      <c r="AZ1161" s="87"/>
      <c r="BA1161" s="91" t="s">
        <v>5209</v>
      </c>
      <c r="BB1161" s="84"/>
      <c r="BC1161" s="85"/>
      <c r="BD1161" s="85"/>
    </row>
    <row r="1162" spans="1:116" s="86" customFormat="1" ht="43.5" customHeight="1">
      <c r="A1162" s="78">
        <v>1157</v>
      </c>
      <c r="B1162" s="79" t="s">
        <v>5210</v>
      </c>
      <c r="C1162" s="88">
        <v>45587</v>
      </c>
      <c r="D1162" s="89">
        <v>0.39583333333333331</v>
      </c>
      <c r="E1162" s="87" t="s">
        <v>58</v>
      </c>
      <c r="F1162" s="87" t="s">
        <v>1184</v>
      </c>
      <c r="G1162" s="87" t="s">
        <v>95</v>
      </c>
      <c r="H1162" s="90" t="s">
        <v>5211</v>
      </c>
      <c r="I1162" s="90" t="s">
        <v>118</v>
      </c>
      <c r="J1162" s="87" t="s">
        <v>70</v>
      </c>
      <c r="K1162" s="87" t="s">
        <v>324</v>
      </c>
      <c r="L1162" s="90" t="s">
        <v>5212</v>
      </c>
      <c r="M1162" s="91" t="s">
        <v>72</v>
      </c>
      <c r="N1162" s="90" t="s">
        <v>1932</v>
      </c>
      <c r="O1162" s="90" t="str">
        <f>_xlfn.TEXTJOIN(", ",TRUE,$P1162:$T1162)</f>
        <v>Chapinero</v>
      </c>
      <c r="P1162" s="87" t="s">
        <v>221</v>
      </c>
      <c r="Q1162" s="87"/>
      <c r="R1162" s="87"/>
      <c r="S1162" s="87"/>
      <c r="T1162" s="87"/>
      <c r="U1162" s="87"/>
      <c r="V1162" s="90" t="str">
        <f t="shared" si="137"/>
        <v>Centro Ampliado</v>
      </c>
      <c r="W1162" s="87" t="s">
        <v>415</v>
      </c>
      <c r="X1162" s="87"/>
      <c r="Y1162" s="87"/>
      <c r="Z1162" s="87"/>
      <c r="AA1162" s="87"/>
      <c r="AB1162" s="87"/>
      <c r="AC1162" s="90" t="str">
        <f t="shared" si="138"/>
        <v>Chapinero</v>
      </c>
      <c r="AD1162" s="87" t="s">
        <v>221</v>
      </c>
      <c r="AE1162" s="87"/>
      <c r="AF1162" s="87"/>
      <c r="AG1162" s="87"/>
      <c r="AH1162" s="87"/>
      <c r="AI1162" s="87"/>
      <c r="AJ1162" s="87"/>
      <c r="AK1162" s="87"/>
      <c r="AL1162" s="87"/>
      <c r="AM1162" s="87"/>
      <c r="AN1162" s="90" t="s">
        <v>221</v>
      </c>
      <c r="AO1162" s="102" t="s">
        <v>2667</v>
      </c>
      <c r="AP1162" s="82"/>
      <c r="AQ1162" s="87" t="s">
        <v>59</v>
      </c>
      <c r="AR1162" s="87" t="s">
        <v>80</v>
      </c>
      <c r="AS1162" s="82"/>
      <c r="AT1162" s="87">
        <v>7</v>
      </c>
      <c r="AU1162" s="87">
        <v>6</v>
      </c>
      <c r="AV1162" s="87">
        <f t="shared" si="284"/>
        <v>13</v>
      </c>
      <c r="AW1162" s="87" t="str">
        <f t="shared" si="283"/>
        <v>Ninguna</v>
      </c>
      <c r="AX1162" s="87" t="s">
        <v>75</v>
      </c>
      <c r="AY1162" s="87"/>
      <c r="AZ1162" s="87"/>
      <c r="BA1162" s="91" t="s">
        <v>5213</v>
      </c>
      <c r="BB1162" s="84"/>
      <c r="BC1162" s="85"/>
      <c r="BD1162" s="85"/>
    </row>
    <row r="1163" spans="1:116" s="86" customFormat="1" ht="43.5" customHeight="1">
      <c r="A1163" s="87">
        <v>1158</v>
      </c>
      <c r="B1163" s="79" t="s">
        <v>5214</v>
      </c>
      <c r="C1163" s="88">
        <v>45587</v>
      </c>
      <c r="D1163" s="89">
        <v>0.41666666666666669</v>
      </c>
      <c r="E1163" s="87" t="s">
        <v>58</v>
      </c>
      <c r="F1163" s="87" t="s">
        <v>1769</v>
      </c>
      <c r="G1163" s="87" t="s">
        <v>62</v>
      </c>
      <c r="H1163" s="90" t="s">
        <v>5215</v>
      </c>
      <c r="I1163" s="90" t="s">
        <v>118</v>
      </c>
      <c r="J1163" s="87" t="s">
        <v>70</v>
      </c>
      <c r="K1163" s="87" t="s">
        <v>324</v>
      </c>
      <c r="L1163" s="90" t="s">
        <v>4871</v>
      </c>
      <c r="M1163" s="91" t="s">
        <v>5216</v>
      </c>
      <c r="N1163" s="90" t="s">
        <v>1932</v>
      </c>
      <c r="O1163" s="90" t="str">
        <f>_xlfn.TEXTJOIN(", ",TRUE,$P1163:$T1163)</f>
        <v>Tunjuelito</v>
      </c>
      <c r="P1163" s="87" t="s">
        <v>618</v>
      </c>
      <c r="Q1163" s="87"/>
      <c r="R1163" s="87"/>
      <c r="S1163" s="87"/>
      <c r="T1163" s="87"/>
      <c r="U1163" s="87"/>
      <c r="V1163" s="90" t="str">
        <f>_xlfn.TEXTJOIN(", ",TRUE,$W1163:$AB1163)</f>
        <v>Suroriente</v>
      </c>
      <c r="W1163" s="87" t="s">
        <v>108</v>
      </c>
      <c r="X1163" s="87"/>
      <c r="Y1163" s="87"/>
      <c r="Z1163" s="87"/>
      <c r="AA1163" s="87"/>
      <c r="AB1163" s="87"/>
      <c r="AC1163" s="90" t="str">
        <f>_xlfn.TEXTJOIN(", ",TRUE,$AD1163:$AM1163)</f>
        <v>Tunjuelito</v>
      </c>
      <c r="AD1163" s="87" t="s">
        <v>618</v>
      </c>
      <c r="AE1163" s="87"/>
      <c r="AF1163" s="87"/>
      <c r="AG1163" s="87"/>
      <c r="AH1163" s="87"/>
      <c r="AI1163" s="87"/>
      <c r="AJ1163" s="87"/>
      <c r="AK1163" s="87"/>
      <c r="AL1163" s="87"/>
      <c r="AM1163" s="87"/>
      <c r="AN1163" s="90" t="s">
        <v>618</v>
      </c>
      <c r="AO1163" s="90" t="s">
        <v>5217</v>
      </c>
      <c r="AP1163" s="82"/>
      <c r="AQ1163" s="87" t="s">
        <v>59</v>
      </c>
      <c r="AR1163" s="87" t="s">
        <v>80</v>
      </c>
      <c r="AS1163" s="82"/>
      <c r="AT1163" s="87">
        <v>8</v>
      </c>
      <c r="AU1163" s="87">
        <v>2</v>
      </c>
      <c r="AV1163" s="87">
        <f>AT1163+AU1163</f>
        <v>10</v>
      </c>
      <c r="AW1163" s="87" t="str">
        <f t="shared" si="283"/>
        <v>Horarios Acordes</v>
      </c>
      <c r="AX1163" s="87" t="s">
        <v>213</v>
      </c>
      <c r="AY1163" s="87"/>
      <c r="AZ1163" s="87"/>
      <c r="BA1163" s="91" t="s">
        <v>5218</v>
      </c>
      <c r="BB1163" s="84"/>
      <c r="BC1163" s="85"/>
      <c r="BD1163" s="85"/>
    </row>
    <row r="1164" spans="1:116" s="86" customFormat="1" ht="43.5" customHeight="1">
      <c r="A1164" s="78">
        <v>1159</v>
      </c>
      <c r="B1164" s="90" t="s">
        <v>5206</v>
      </c>
      <c r="C1164" s="88">
        <v>45588</v>
      </c>
      <c r="D1164" s="89">
        <v>0.35416666666666669</v>
      </c>
      <c r="E1164" s="87" t="s">
        <v>58</v>
      </c>
      <c r="F1164" s="87" t="s">
        <v>149</v>
      </c>
      <c r="G1164" s="87" t="s">
        <v>62</v>
      </c>
      <c r="H1164" s="90" t="s">
        <v>5207</v>
      </c>
      <c r="I1164" s="90" t="s">
        <v>118</v>
      </c>
      <c r="J1164" s="87" t="s">
        <v>173</v>
      </c>
      <c r="K1164" s="87"/>
      <c r="L1164" s="90" t="s">
        <v>72</v>
      </c>
      <c r="M1164" s="91" t="s">
        <v>72</v>
      </c>
      <c r="N1164" s="90" t="s">
        <v>3042</v>
      </c>
      <c r="O1164" s="90" t="s">
        <v>73</v>
      </c>
      <c r="P1164" s="87" t="s">
        <v>73</v>
      </c>
      <c r="Q1164" s="87"/>
      <c r="R1164" s="87"/>
      <c r="S1164" s="87"/>
      <c r="T1164" s="87"/>
      <c r="U1164" s="87"/>
      <c r="V1164" s="90" t="s">
        <v>73</v>
      </c>
      <c r="W1164" s="87" t="s">
        <v>73</v>
      </c>
      <c r="X1164" s="87"/>
      <c r="Y1164" s="87"/>
      <c r="Z1164" s="87"/>
      <c r="AA1164" s="87"/>
      <c r="AB1164" s="87"/>
      <c r="AC1164" s="90" t="s">
        <v>73</v>
      </c>
      <c r="AD1164" s="87" t="s">
        <v>73</v>
      </c>
      <c r="AE1164" s="87"/>
      <c r="AF1164" s="87"/>
      <c r="AG1164" s="87"/>
      <c r="AH1164" s="87"/>
      <c r="AI1164" s="87"/>
      <c r="AJ1164" s="87"/>
      <c r="AK1164" s="87"/>
      <c r="AL1164" s="87"/>
      <c r="AM1164" s="87"/>
      <c r="AN1164" s="90" t="s">
        <v>80</v>
      </c>
      <c r="AO1164" s="90" t="s">
        <v>5208</v>
      </c>
      <c r="AP1164" s="82"/>
      <c r="AQ1164" s="87" t="s">
        <v>59</v>
      </c>
      <c r="AR1164" s="87" t="s">
        <v>80</v>
      </c>
      <c r="AS1164" s="82"/>
      <c r="AT1164" s="87">
        <v>21</v>
      </c>
      <c r="AU1164" s="87">
        <v>13</v>
      </c>
      <c r="AV1164" s="87">
        <f t="shared" ref="AV1164:AV1177" si="285">AT1164+AU1164</f>
        <v>34</v>
      </c>
      <c r="AW1164" s="87" t="str">
        <f t="shared" si="283"/>
        <v>No Aplica</v>
      </c>
      <c r="AX1164" s="87" t="s">
        <v>78</v>
      </c>
      <c r="AY1164" s="87"/>
      <c r="AZ1164" s="87"/>
      <c r="BA1164" s="91" t="s">
        <v>5219</v>
      </c>
      <c r="BB1164" s="84"/>
      <c r="BC1164" s="85"/>
      <c r="BD1164" s="85"/>
    </row>
    <row r="1165" spans="1:116" s="86" customFormat="1" ht="43.5" customHeight="1">
      <c r="A1165" s="87">
        <v>1160</v>
      </c>
      <c r="B1165" s="79" t="s">
        <v>5220</v>
      </c>
      <c r="C1165" s="88">
        <v>45588</v>
      </c>
      <c r="D1165" s="89">
        <v>0.375</v>
      </c>
      <c r="E1165" s="87" t="s">
        <v>58</v>
      </c>
      <c r="F1165" s="87" t="s">
        <v>1142</v>
      </c>
      <c r="G1165" s="87" t="s">
        <v>62</v>
      </c>
      <c r="H1165" s="90" t="s">
        <v>5221</v>
      </c>
      <c r="I1165" s="90" t="s">
        <v>118</v>
      </c>
      <c r="J1165" s="87" t="s">
        <v>70</v>
      </c>
      <c r="K1165" s="87" t="s">
        <v>71</v>
      </c>
      <c r="L1165" s="90" t="s">
        <v>5222</v>
      </c>
      <c r="M1165" s="91" t="s">
        <v>72</v>
      </c>
      <c r="N1165" s="91" t="s">
        <v>72</v>
      </c>
      <c r="O1165" s="90" t="s">
        <v>73</v>
      </c>
      <c r="P1165" s="87" t="s">
        <v>73</v>
      </c>
      <c r="Q1165" s="87"/>
      <c r="R1165" s="87"/>
      <c r="S1165" s="87"/>
      <c r="T1165" s="87"/>
      <c r="U1165" s="87"/>
      <c r="V1165" s="90" t="s">
        <v>73</v>
      </c>
      <c r="W1165" s="87" t="s">
        <v>73</v>
      </c>
      <c r="X1165" s="87"/>
      <c r="Y1165" s="87"/>
      <c r="Z1165" s="87"/>
      <c r="AA1165" s="87"/>
      <c r="AB1165" s="87"/>
      <c r="AC1165" s="90" t="s">
        <v>73</v>
      </c>
      <c r="AD1165" s="87" t="s">
        <v>73</v>
      </c>
      <c r="AE1165" s="87"/>
      <c r="AF1165" s="87"/>
      <c r="AG1165" s="87"/>
      <c r="AH1165" s="87"/>
      <c r="AI1165" s="87"/>
      <c r="AJ1165" s="87"/>
      <c r="AK1165" s="87"/>
      <c r="AL1165" s="87"/>
      <c r="AM1165" s="87"/>
      <c r="AN1165" s="90" t="s">
        <v>80</v>
      </c>
      <c r="AO1165" s="90" t="s">
        <v>80</v>
      </c>
      <c r="AP1165" s="82"/>
      <c r="AQ1165" s="87" t="s">
        <v>59</v>
      </c>
      <c r="AR1165" s="87" t="s">
        <v>80</v>
      </c>
      <c r="AS1165" s="82"/>
      <c r="AT1165" s="87">
        <v>8</v>
      </c>
      <c r="AU1165" s="87">
        <v>4</v>
      </c>
      <c r="AV1165" s="87">
        <f t="shared" si="285"/>
        <v>12</v>
      </c>
      <c r="AW1165" s="87" t="str">
        <f t="shared" si="283"/>
        <v>Ninguna</v>
      </c>
      <c r="AX1165" s="87" t="s">
        <v>75</v>
      </c>
      <c r="AY1165" s="87"/>
      <c r="AZ1165" s="87"/>
      <c r="BA1165" s="91" t="s">
        <v>5223</v>
      </c>
      <c r="BB1165" s="84"/>
      <c r="BC1165" s="85"/>
      <c r="BD1165" s="85"/>
    </row>
    <row r="1166" spans="1:116" s="86" customFormat="1" ht="43.5" customHeight="1">
      <c r="A1166" s="78">
        <v>1161</v>
      </c>
      <c r="B1166" s="79" t="s">
        <v>5224</v>
      </c>
      <c r="C1166" s="88">
        <v>45588</v>
      </c>
      <c r="D1166" s="89">
        <v>0.39583333333333331</v>
      </c>
      <c r="E1166" s="87" t="s">
        <v>58</v>
      </c>
      <c r="F1166" s="87" t="s">
        <v>1142</v>
      </c>
      <c r="G1166" s="87" t="s">
        <v>62</v>
      </c>
      <c r="H1166" s="90" t="s">
        <v>5225</v>
      </c>
      <c r="I1166" s="90" t="s">
        <v>118</v>
      </c>
      <c r="J1166" s="87" t="s">
        <v>70</v>
      </c>
      <c r="K1166" s="87" t="s">
        <v>324</v>
      </c>
      <c r="L1166" s="90" t="s">
        <v>5226</v>
      </c>
      <c r="M1166" s="91" t="s">
        <v>5227</v>
      </c>
      <c r="N1166" s="91" t="s">
        <v>3042</v>
      </c>
      <c r="O1166" s="90" t="s">
        <v>73</v>
      </c>
      <c r="P1166" s="87" t="s">
        <v>73</v>
      </c>
      <c r="Q1166" s="87"/>
      <c r="R1166" s="87"/>
      <c r="S1166" s="87"/>
      <c r="T1166" s="87"/>
      <c r="U1166" s="87"/>
      <c r="V1166" s="90" t="s">
        <v>73</v>
      </c>
      <c r="W1166" s="87" t="s">
        <v>73</v>
      </c>
      <c r="X1166" s="87"/>
      <c r="Y1166" s="87"/>
      <c r="Z1166" s="87"/>
      <c r="AA1166" s="87"/>
      <c r="AB1166" s="87"/>
      <c r="AC1166" s="90" t="s">
        <v>73</v>
      </c>
      <c r="AD1166" s="87" t="s">
        <v>73</v>
      </c>
      <c r="AE1166" s="87"/>
      <c r="AF1166" s="87"/>
      <c r="AG1166" s="87"/>
      <c r="AH1166" s="87"/>
      <c r="AI1166" s="87"/>
      <c r="AJ1166" s="87"/>
      <c r="AK1166" s="87"/>
      <c r="AL1166" s="87"/>
      <c r="AM1166" s="87"/>
      <c r="AN1166" s="90" t="s">
        <v>80</v>
      </c>
      <c r="AO1166" s="90" t="s">
        <v>5228</v>
      </c>
      <c r="AP1166" s="82"/>
      <c r="AQ1166" s="87" t="s">
        <v>59</v>
      </c>
      <c r="AR1166" s="87" t="s">
        <v>80</v>
      </c>
      <c r="AS1166" s="82"/>
      <c r="AT1166" s="87">
        <v>0</v>
      </c>
      <c r="AU1166" s="87">
        <v>9</v>
      </c>
      <c r="AV1166" s="87">
        <f t="shared" si="285"/>
        <v>9</v>
      </c>
      <c r="AW1166" s="87" t="str">
        <f t="shared" si="283"/>
        <v>Ninguna</v>
      </c>
      <c r="AX1166" s="87" t="s">
        <v>75</v>
      </c>
      <c r="AY1166" s="87"/>
      <c r="AZ1166" s="87"/>
      <c r="BA1166" s="91" t="s">
        <v>5229</v>
      </c>
      <c r="BB1166" s="84"/>
      <c r="BC1166" s="85"/>
      <c r="BD1166" s="85"/>
    </row>
    <row r="1167" spans="1:116" s="86" customFormat="1" ht="43.5" customHeight="1">
      <c r="A1167" s="87">
        <v>1162</v>
      </c>
      <c r="B1167" s="90" t="s">
        <v>5230</v>
      </c>
      <c r="C1167" s="88">
        <v>45588</v>
      </c>
      <c r="D1167" s="89">
        <v>0.41666666666666669</v>
      </c>
      <c r="E1167" s="87" t="s">
        <v>58</v>
      </c>
      <c r="F1167" s="87" t="s">
        <v>1184</v>
      </c>
      <c r="G1167" s="87" t="s">
        <v>62</v>
      </c>
      <c r="H1167" s="90" t="s">
        <v>5231</v>
      </c>
      <c r="I1167" s="90" t="s">
        <v>118</v>
      </c>
      <c r="J1167" s="87" t="s">
        <v>70</v>
      </c>
      <c r="K1167" s="87" t="s">
        <v>324</v>
      </c>
      <c r="L1167" s="90" t="s">
        <v>1317</v>
      </c>
      <c r="M1167" s="91" t="s">
        <v>1317</v>
      </c>
      <c r="N1167" s="90" t="s">
        <v>1317</v>
      </c>
      <c r="O1167" s="90" t="str">
        <f>_xlfn.TEXTJOIN(", ",TRUE,$P1167:$T1167)</f>
        <v>Teusaquillo</v>
      </c>
      <c r="P1167" s="87" t="s">
        <v>665</v>
      </c>
      <c r="Q1167" s="87"/>
      <c r="R1167" s="87"/>
      <c r="S1167" s="87"/>
      <c r="T1167" s="87"/>
      <c r="U1167" s="87"/>
      <c r="V1167" s="90" t="str">
        <f>_xlfn.TEXTJOIN(", ",TRUE,$W1167:$AB1167)</f>
        <v>Centro Ampliado</v>
      </c>
      <c r="W1167" s="87" t="s">
        <v>415</v>
      </c>
      <c r="X1167" s="87"/>
      <c r="Y1167" s="87"/>
      <c r="Z1167" s="87"/>
      <c r="AA1167" s="87"/>
      <c r="AB1167" s="87"/>
      <c r="AC1167" s="90" t="str">
        <f>_xlfn.TEXTJOIN(", ",TRUE,$AD1167:$AM1167)</f>
        <v>Teusaquillo</v>
      </c>
      <c r="AD1167" s="87" t="s">
        <v>665</v>
      </c>
      <c r="AE1167" s="87"/>
      <c r="AF1167" s="87"/>
      <c r="AG1167" s="87"/>
      <c r="AH1167" s="87"/>
      <c r="AI1167" s="87"/>
      <c r="AJ1167" s="87"/>
      <c r="AK1167" s="87"/>
      <c r="AL1167" s="87"/>
      <c r="AM1167" s="87"/>
      <c r="AN1167" s="90" t="s">
        <v>80</v>
      </c>
      <c r="AO1167" s="90" t="s">
        <v>5232</v>
      </c>
      <c r="AP1167" s="82"/>
      <c r="AQ1167" s="87" t="s">
        <v>59</v>
      </c>
      <c r="AR1167" s="87" t="s">
        <v>80</v>
      </c>
      <c r="AS1167" s="82"/>
      <c r="AT1167" s="87">
        <v>3</v>
      </c>
      <c r="AU1167" s="87">
        <v>3</v>
      </c>
      <c r="AV1167" s="87">
        <f>AT1167+AU1167</f>
        <v>6</v>
      </c>
      <c r="AW1167" s="87" t="str">
        <f t="shared" ref="AW1167:AW1173" si="286">_xlfn.TEXTJOIN(", ",TRUE,$AX1167:$AZ1167)</f>
        <v>Ninguna</v>
      </c>
      <c r="AX1167" s="87" t="s">
        <v>75</v>
      </c>
      <c r="AY1167" s="87"/>
      <c r="AZ1167" s="87"/>
      <c r="BA1167" s="91" t="s">
        <v>5233</v>
      </c>
      <c r="BB1167" s="84"/>
      <c r="BC1167" s="85"/>
      <c r="BD1167" s="85"/>
    </row>
    <row r="1168" spans="1:116" s="86" customFormat="1" ht="43.5" customHeight="1">
      <c r="A1168" s="78">
        <v>1163</v>
      </c>
      <c r="B1168" s="90" t="s">
        <v>5206</v>
      </c>
      <c r="C1168" s="88">
        <v>45589</v>
      </c>
      <c r="D1168" s="89">
        <v>0.35416666666666669</v>
      </c>
      <c r="E1168" s="87" t="s">
        <v>58</v>
      </c>
      <c r="F1168" s="87" t="s">
        <v>149</v>
      </c>
      <c r="G1168" s="87" t="s">
        <v>62</v>
      </c>
      <c r="H1168" s="90" t="s">
        <v>5207</v>
      </c>
      <c r="I1168" s="90" t="s">
        <v>118</v>
      </c>
      <c r="J1168" s="87" t="s">
        <v>173</v>
      </c>
      <c r="K1168" s="87"/>
      <c r="L1168" s="90" t="s">
        <v>72</v>
      </c>
      <c r="M1168" s="91" t="s">
        <v>72</v>
      </c>
      <c r="N1168" s="90" t="s">
        <v>3042</v>
      </c>
      <c r="O1168" s="90" t="s">
        <v>73</v>
      </c>
      <c r="P1168" s="87" t="s">
        <v>73</v>
      </c>
      <c r="Q1168" s="87"/>
      <c r="R1168" s="87"/>
      <c r="S1168" s="87"/>
      <c r="T1168" s="87"/>
      <c r="U1168" s="87"/>
      <c r="V1168" s="90" t="s">
        <v>73</v>
      </c>
      <c r="W1168" s="87" t="s">
        <v>73</v>
      </c>
      <c r="X1168" s="87"/>
      <c r="Y1168" s="87"/>
      <c r="Z1168" s="87"/>
      <c r="AA1168" s="87"/>
      <c r="AB1168" s="87"/>
      <c r="AC1168" s="90" t="s">
        <v>73</v>
      </c>
      <c r="AD1168" s="87" t="s">
        <v>73</v>
      </c>
      <c r="AE1168" s="87"/>
      <c r="AF1168" s="87"/>
      <c r="AG1168" s="87"/>
      <c r="AH1168" s="87"/>
      <c r="AI1168" s="87"/>
      <c r="AJ1168" s="87"/>
      <c r="AK1168" s="87"/>
      <c r="AL1168" s="87"/>
      <c r="AM1168" s="87"/>
      <c r="AN1168" s="90" t="s">
        <v>80</v>
      </c>
      <c r="AO1168" s="90" t="s">
        <v>5208</v>
      </c>
      <c r="AP1168" s="82"/>
      <c r="AQ1168" s="87" t="s">
        <v>59</v>
      </c>
      <c r="AR1168" s="87" t="s">
        <v>80</v>
      </c>
      <c r="AS1168" s="82"/>
      <c r="AT1168" s="87">
        <v>25</v>
      </c>
      <c r="AU1168" s="87">
        <v>3</v>
      </c>
      <c r="AV1168" s="87">
        <f t="shared" si="285"/>
        <v>28</v>
      </c>
      <c r="AW1168" s="87" t="str">
        <f t="shared" si="286"/>
        <v>Ninguna</v>
      </c>
      <c r="AX1168" s="87" t="s">
        <v>75</v>
      </c>
      <c r="AY1168" s="87"/>
      <c r="AZ1168" s="87"/>
      <c r="BA1168" s="91" t="s">
        <v>5234</v>
      </c>
      <c r="BB1168" s="84"/>
      <c r="BC1168" s="85"/>
      <c r="BD1168" s="85"/>
    </row>
    <row r="1169" spans="1:56" s="86" customFormat="1" ht="40.5" customHeight="1">
      <c r="A1169" s="87">
        <v>1164</v>
      </c>
      <c r="B1169" s="90" t="s">
        <v>5235</v>
      </c>
      <c r="C1169" s="88">
        <v>45589</v>
      </c>
      <c r="D1169" s="89">
        <v>0.35416666666666669</v>
      </c>
      <c r="E1169" s="87" t="s">
        <v>58</v>
      </c>
      <c r="F1169" s="87" t="s">
        <v>5236</v>
      </c>
      <c r="G1169" s="87" t="s">
        <v>62</v>
      </c>
      <c r="H1169" s="90" t="s">
        <v>5237</v>
      </c>
      <c r="I1169" s="90" t="s">
        <v>118</v>
      </c>
      <c r="J1169" s="87" t="s">
        <v>70</v>
      </c>
      <c r="K1169" s="87" t="s">
        <v>71</v>
      </c>
      <c r="L1169" s="90" t="s">
        <v>2671</v>
      </c>
      <c r="M1169" s="91" t="s">
        <v>5178</v>
      </c>
      <c r="N1169" s="90" t="s">
        <v>5238</v>
      </c>
      <c r="O1169" s="90" t="str">
        <f t="shared" ref="O1169:O1187" si="287">_xlfn.TEXTJOIN(", ",TRUE,$P1169:$T1169)</f>
        <v>Distrital</v>
      </c>
      <c r="P1169" s="87" t="s">
        <v>73</v>
      </c>
      <c r="Q1169" s="87"/>
      <c r="R1169" s="87"/>
      <c r="S1169" s="87"/>
      <c r="T1169" s="87"/>
      <c r="U1169" s="87"/>
      <c r="V1169" s="90" t="str">
        <f t="shared" ref="V1169:V1187" si="288">_xlfn.TEXTJOIN(", ",TRUE,$W1169:$AB1169)</f>
        <v>Distrital</v>
      </c>
      <c r="W1169" s="87" t="s">
        <v>73</v>
      </c>
      <c r="X1169" s="87"/>
      <c r="Y1169" s="87"/>
      <c r="Z1169" s="87"/>
      <c r="AA1169" s="87"/>
      <c r="AB1169" s="87"/>
      <c r="AC1169" s="90" t="str">
        <f t="shared" ref="AC1169:AC1187" si="289">_xlfn.TEXTJOIN(", ",TRUE,$AD1169:$AM1169)</f>
        <v>Distrital</v>
      </c>
      <c r="AD1169" s="87" t="s">
        <v>73</v>
      </c>
      <c r="AE1169" s="87"/>
      <c r="AF1169" s="87"/>
      <c r="AG1169" s="87"/>
      <c r="AH1169" s="87"/>
      <c r="AI1169" s="87"/>
      <c r="AJ1169" s="87"/>
      <c r="AK1169" s="87"/>
      <c r="AL1169" s="87"/>
      <c r="AM1169" s="87"/>
      <c r="AN1169" s="90" t="s">
        <v>80</v>
      </c>
      <c r="AO1169" s="90" t="s">
        <v>5239</v>
      </c>
      <c r="AP1169" s="82"/>
      <c r="AQ1169" s="87" t="s">
        <v>59</v>
      </c>
      <c r="AR1169" s="87" t="s">
        <v>80</v>
      </c>
      <c r="AS1169" s="82"/>
      <c r="AT1169" s="87">
        <v>6</v>
      </c>
      <c r="AU1169" s="87">
        <v>16</v>
      </c>
      <c r="AV1169" s="87">
        <f>AT1169+AU1169</f>
        <v>22</v>
      </c>
      <c r="AW1169" s="87" t="str">
        <f t="shared" si="286"/>
        <v>Contenidos adaptados</v>
      </c>
      <c r="AX1169" s="87" t="s">
        <v>212</v>
      </c>
      <c r="AY1169" s="87"/>
      <c r="AZ1169" s="87"/>
      <c r="BA1169" s="91" t="s">
        <v>5240</v>
      </c>
      <c r="BB1169" s="84"/>
      <c r="BC1169" s="85"/>
      <c r="BD1169" s="85"/>
    </row>
    <row r="1170" spans="1:56" s="86" customFormat="1" ht="43.5" customHeight="1">
      <c r="A1170" s="78">
        <v>1165</v>
      </c>
      <c r="B1170" s="79" t="s">
        <v>5241</v>
      </c>
      <c r="C1170" s="88">
        <v>45589</v>
      </c>
      <c r="D1170" s="89">
        <v>0.375</v>
      </c>
      <c r="E1170" s="87" t="s">
        <v>58</v>
      </c>
      <c r="F1170" s="87" t="s">
        <v>2121</v>
      </c>
      <c r="G1170" s="87" t="s">
        <v>62</v>
      </c>
      <c r="H1170" s="90" t="s">
        <v>5242</v>
      </c>
      <c r="I1170" s="90" t="s">
        <v>118</v>
      </c>
      <c r="J1170" s="87" t="s">
        <v>70</v>
      </c>
      <c r="K1170" s="87"/>
      <c r="L1170" s="90" t="s">
        <v>72</v>
      </c>
      <c r="M1170" s="91" t="s">
        <v>72</v>
      </c>
      <c r="N1170" s="90" t="s">
        <v>72</v>
      </c>
      <c r="O1170" s="90" t="str">
        <f t="shared" si="287"/>
        <v>Distrital</v>
      </c>
      <c r="P1170" s="87" t="s">
        <v>73</v>
      </c>
      <c r="Q1170" s="87"/>
      <c r="R1170" s="87"/>
      <c r="S1170" s="87"/>
      <c r="T1170" s="87"/>
      <c r="U1170" s="87"/>
      <c r="V1170" s="90" t="str">
        <f t="shared" si="288"/>
        <v>Distrital</v>
      </c>
      <c r="W1170" s="87" t="s">
        <v>73</v>
      </c>
      <c r="X1170" s="87"/>
      <c r="Y1170" s="87"/>
      <c r="Z1170" s="87"/>
      <c r="AA1170" s="87"/>
      <c r="AB1170" s="87"/>
      <c r="AC1170" s="90" t="str">
        <f t="shared" si="289"/>
        <v>Distrital</v>
      </c>
      <c r="AD1170" s="87" t="s">
        <v>73</v>
      </c>
      <c r="AE1170" s="87"/>
      <c r="AF1170" s="87"/>
      <c r="AG1170" s="87"/>
      <c r="AH1170" s="87"/>
      <c r="AI1170" s="87"/>
      <c r="AJ1170" s="87"/>
      <c r="AK1170" s="87"/>
      <c r="AL1170" s="87"/>
      <c r="AM1170" s="87"/>
      <c r="AN1170" s="90" t="s">
        <v>80</v>
      </c>
      <c r="AO1170" s="90" t="s">
        <v>5243</v>
      </c>
      <c r="AP1170" s="82"/>
      <c r="AQ1170" s="87" t="s">
        <v>59</v>
      </c>
      <c r="AR1170" s="87" t="s">
        <v>80</v>
      </c>
      <c r="AS1170" s="82"/>
      <c r="AT1170" s="87">
        <v>0</v>
      </c>
      <c r="AU1170" s="87">
        <v>8</v>
      </c>
      <c r="AV1170" s="87">
        <f>AT1170+AU1170</f>
        <v>8</v>
      </c>
      <c r="AW1170" s="87" t="str">
        <f t="shared" si="286"/>
        <v>Ninguna</v>
      </c>
      <c r="AX1170" s="87" t="s">
        <v>75</v>
      </c>
      <c r="AY1170" s="87"/>
      <c r="AZ1170" s="87"/>
      <c r="BA1170" s="91" t="s">
        <v>5244</v>
      </c>
      <c r="BB1170" s="84"/>
      <c r="BC1170" s="85"/>
      <c r="BD1170" s="85"/>
    </row>
    <row r="1171" spans="1:56" s="86" customFormat="1" ht="43.5" customHeight="1">
      <c r="A1171" s="87">
        <v>1166</v>
      </c>
      <c r="B1171" s="79" t="s">
        <v>5245</v>
      </c>
      <c r="C1171" s="88">
        <v>45589</v>
      </c>
      <c r="D1171" s="89">
        <v>0.41666666666666669</v>
      </c>
      <c r="E1171" s="87" t="s">
        <v>58</v>
      </c>
      <c r="F1171" s="87" t="s">
        <v>1437</v>
      </c>
      <c r="G1171" s="87" t="s">
        <v>95</v>
      </c>
      <c r="H1171" s="90" t="s">
        <v>5246</v>
      </c>
      <c r="I1171" s="90" t="s">
        <v>118</v>
      </c>
      <c r="J1171" s="87" t="s">
        <v>173</v>
      </c>
      <c r="K1171" s="87"/>
      <c r="L1171" s="90" t="s">
        <v>80</v>
      </c>
      <c r="M1171" s="90" t="s">
        <v>80</v>
      </c>
      <c r="N1171" s="90" t="s">
        <v>80</v>
      </c>
      <c r="O1171" s="90" t="str">
        <f t="shared" si="287"/>
        <v>Distrital</v>
      </c>
      <c r="P1171" s="87" t="s">
        <v>73</v>
      </c>
      <c r="Q1171" s="87"/>
      <c r="R1171" s="87"/>
      <c r="S1171" s="87"/>
      <c r="T1171" s="87"/>
      <c r="U1171" s="87"/>
      <c r="V1171" s="90" t="str">
        <f t="shared" si="288"/>
        <v>Distrital</v>
      </c>
      <c r="W1171" s="87" t="s">
        <v>73</v>
      </c>
      <c r="X1171" s="87"/>
      <c r="Y1171" s="87"/>
      <c r="Z1171" s="87"/>
      <c r="AA1171" s="87"/>
      <c r="AB1171" s="87"/>
      <c r="AC1171" s="90" t="str">
        <f t="shared" si="289"/>
        <v>Distrital</v>
      </c>
      <c r="AD1171" s="87" t="s">
        <v>73</v>
      </c>
      <c r="AE1171" s="87"/>
      <c r="AF1171" s="87"/>
      <c r="AG1171" s="87"/>
      <c r="AH1171" s="87"/>
      <c r="AI1171" s="87"/>
      <c r="AJ1171" s="87"/>
      <c r="AK1171" s="87"/>
      <c r="AL1171" s="87"/>
      <c r="AM1171" s="87"/>
      <c r="AN1171" s="90" t="s">
        <v>80</v>
      </c>
      <c r="AO1171" s="102" t="s">
        <v>5247</v>
      </c>
      <c r="AP1171" s="82"/>
      <c r="AQ1171" s="87" t="s">
        <v>59</v>
      </c>
      <c r="AR1171" s="87" t="s">
        <v>80</v>
      </c>
      <c r="AS1171" s="82"/>
      <c r="AT1171" s="87">
        <v>5</v>
      </c>
      <c r="AU1171" s="87">
        <v>2</v>
      </c>
      <c r="AV1171" s="87">
        <f>AT1171+AU1171</f>
        <v>7</v>
      </c>
      <c r="AW1171" s="87" t="str">
        <f t="shared" si="286"/>
        <v>Ninguna</v>
      </c>
      <c r="AX1171" s="87" t="s">
        <v>75</v>
      </c>
      <c r="AY1171" s="87"/>
      <c r="AZ1171" s="87"/>
      <c r="BA1171" s="91" t="s">
        <v>5248</v>
      </c>
      <c r="BB1171" s="84"/>
      <c r="BC1171" s="85"/>
      <c r="BD1171" s="85"/>
    </row>
    <row r="1172" spans="1:56" s="86" customFormat="1" ht="43.5" customHeight="1">
      <c r="A1172" s="78">
        <v>1167</v>
      </c>
      <c r="B1172" s="79" t="s">
        <v>5249</v>
      </c>
      <c r="C1172" s="88">
        <v>45589</v>
      </c>
      <c r="D1172" s="89">
        <v>0.4375</v>
      </c>
      <c r="E1172" s="87" t="s">
        <v>58</v>
      </c>
      <c r="F1172" s="87" t="s">
        <v>1142</v>
      </c>
      <c r="G1172" s="87" t="s">
        <v>95</v>
      </c>
      <c r="H1172" s="90" t="s">
        <v>5250</v>
      </c>
      <c r="I1172" s="90" t="s">
        <v>118</v>
      </c>
      <c r="J1172" s="87" t="s">
        <v>70</v>
      </c>
      <c r="K1172" s="87" t="s">
        <v>71</v>
      </c>
      <c r="L1172" s="90" t="s">
        <v>5251</v>
      </c>
      <c r="M1172" s="91" t="s">
        <v>72</v>
      </c>
      <c r="N1172" s="91" t="s">
        <v>72</v>
      </c>
      <c r="O1172" s="90" t="str">
        <f t="shared" si="287"/>
        <v>Distrital</v>
      </c>
      <c r="P1172" s="87" t="s">
        <v>73</v>
      </c>
      <c r="Q1172" s="87"/>
      <c r="R1172" s="87"/>
      <c r="S1172" s="87"/>
      <c r="T1172" s="87"/>
      <c r="U1172" s="87"/>
      <c r="V1172" s="90" t="str">
        <f t="shared" si="288"/>
        <v>Distrital</v>
      </c>
      <c r="W1172" s="87" t="s">
        <v>73</v>
      </c>
      <c r="X1172" s="87"/>
      <c r="Y1172" s="87"/>
      <c r="Z1172" s="87"/>
      <c r="AA1172" s="87"/>
      <c r="AB1172" s="87"/>
      <c r="AC1172" s="90" t="str">
        <f t="shared" si="289"/>
        <v>Distrital</v>
      </c>
      <c r="AD1172" s="87" t="s">
        <v>73</v>
      </c>
      <c r="AE1172" s="87"/>
      <c r="AF1172" s="87"/>
      <c r="AG1172" s="87"/>
      <c r="AH1172" s="87"/>
      <c r="AI1172" s="87"/>
      <c r="AJ1172" s="87"/>
      <c r="AK1172" s="87"/>
      <c r="AL1172" s="87"/>
      <c r="AM1172" s="87"/>
      <c r="AN1172" s="90" t="s">
        <v>80</v>
      </c>
      <c r="AO1172" s="102" t="s">
        <v>2667</v>
      </c>
      <c r="AP1172" s="82"/>
      <c r="AQ1172" s="87" t="s">
        <v>59</v>
      </c>
      <c r="AR1172" s="87" t="s">
        <v>80</v>
      </c>
      <c r="AS1172" s="82"/>
      <c r="AT1172" s="87">
        <v>8</v>
      </c>
      <c r="AU1172" s="87">
        <v>3</v>
      </c>
      <c r="AV1172" s="87">
        <f>AT1172+AU1172</f>
        <v>11</v>
      </c>
      <c r="AW1172" s="87" t="str">
        <f t="shared" si="286"/>
        <v>No Aplica</v>
      </c>
      <c r="AX1172" s="87" t="s">
        <v>78</v>
      </c>
      <c r="AY1172" s="87"/>
      <c r="AZ1172" s="87"/>
      <c r="BA1172" s="91" t="s">
        <v>5252</v>
      </c>
      <c r="BB1172" s="84"/>
      <c r="BC1172" s="85"/>
      <c r="BD1172" s="85"/>
    </row>
    <row r="1173" spans="1:56" s="86" customFormat="1" ht="43.5" customHeight="1">
      <c r="A1173" s="87">
        <v>1168</v>
      </c>
      <c r="B1173" s="79" t="s">
        <v>1397</v>
      </c>
      <c r="C1173" s="88">
        <v>45589</v>
      </c>
      <c r="D1173" s="89">
        <v>0.70833333333333337</v>
      </c>
      <c r="E1173" s="87" t="s">
        <v>93</v>
      </c>
      <c r="F1173" s="87" t="s">
        <v>102</v>
      </c>
      <c r="G1173" s="87" t="s">
        <v>95</v>
      </c>
      <c r="H1173" s="90" t="s">
        <v>5253</v>
      </c>
      <c r="I1173" s="90" t="s">
        <v>118</v>
      </c>
      <c r="J1173" s="87" t="s">
        <v>70</v>
      </c>
      <c r="K1173" s="87" t="s">
        <v>129</v>
      </c>
      <c r="L1173" s="90" t="s">
        <v>5254</v>
      </c>
      <c r="M1173" s="91" t="s">
        <v>2635</v>
      </c>
      <c r="N1173" s="91" t="s">
        <v>5255</v>
      </c>
      <c r="O1173" s="90" t="str">
        <f t="shared" si="287"/>
        <v>Distrital</v>
      </c>
      <c r="P1173" s="87" t="s">
        <v>73</v>
      </c>
      <c r="Q1173" s="87"/>
      <c r="R1173" s="87"/>
      <c r="S1173" s="87"/>
      <c r="T1173" s="87"/>
      <c r="U1173" s="87"/>
      <c r="V1173" s="90" t="str">
        <f t="shared" si="288"/>
        <v>Distrital</v>
      </c>
      <c r="W1173" s="87" t="s">
        <v>73</v>
      </c>
      <c r="X1173" s="87"/>
      <c r="Y1173" s="87"/>
      <c r="Z1173" s="87"/>
      <c r="AA1173" s="87"/>
      <c r="AB1173" s="87"/>
      <c r="AC1173" s="90" t="str">
        <f t="shared" si="289"/>
        <v>Distrital</v>
      </c>
      <c r="AD1173" s="87" t="s">
        <v>73</v>
      </c>
      <c r="AE1173" s="87"/>
      <c r="AF1173" s="87"/>
      <c r="AG1173" s="87"/>
      <c r="AH1173" s="87"/>
      <c r="AI1173" s="87"/>
      <c r="AJ1173" s="87"/>
      <c r="AK1173" s="87"/>
      <c r="AL1173" s="87"/>
      <c r="AM1173" s="87"/>
      <c r="AN1173" s="90" t="s">
        <v>80</v>
      </c>
      <c r="AO1173" s="102" t="s">
        <v>2667</v>
      </c>
      <c r="AP1173" s="82"/>
      <c r="AQ1173" s="87" t="s">
        <v>59</v>
      </c>
      <c r="AR1173" s="87" t="s">
        <v>80</v>
      </c>
      <c r="AS1173" s="82"/>
      <c r="AT1173" s="87">
        <v>25</v>
      </c>
      <c r="AU1173" s="87">
        <v>2</v>
      </c>
      <c r="AV1173" s="87">
        <f>AT1173+AU1173</f>
        <v>27</v>
      </c>
      <c r="AW1173" s="87" t="str">
        <f t="shared" si="286"/>
        <v>Ninguna</v>
      </c>
      <c r="AX1173" s="87" t="s">
        <v>75</v>
      </c>
      <c r="AY1173" s="87"/>
      <c r="AZ1173" s="87"/>
      <c r="BA1173" s="91" t="s">
        <v>5256</v>
      </c>
      <c r="BB1173" s="84"/>
      <c r="BC1173" s="85"/>
      <c r="BD1173" s="85"/>
    </row>
    <row r="1174" spans="1:56" s="86" customFormat="1" ht="43.5" customHeight="1">
      <c r="A1174" s="78">
        <v>1169</v>
      </c>
      <c r="B1174" s="79" t="s">
        <v>5257</v>
      </c>
      <c r="C1174" s="88">
        <v>45590</v>
      </c>
      <c r="D1174" s="89">
        <v>0.41666666666666669</v>
      </c>
      <c r="E1174" s="87" t="s">
        <v>58</v>
      </c>
      <c r="F1174" s="87" t="s">
        <v>1142</v>
      </c>
      <c r="G1174" s="87" t="s">
        <v>62</v>
      </c>
      <c r="H1174" s="90" t="s">
        <v>5258</v>
      </c>
      <c r="I1174" s="90" t="s">
        <v>118</v>
      </c>
      <c r="J1174" s="87" t="s">
        <v>119</v>
      </c>
      <c r="K1174" s="87" t="s">
        <v>610</v>
      </c>
      <c r="L1174" s="90" t="s">
        <v>5259</v>
      </c>
      <c r="M1174" s="91" t="s">
        <v>5260</v>
      </c>
      <c r="N1174" s="90" t="s">
        <v>5261</v>
      </c>
      <c r="O1174" s="90" t="str">
        <f t="shared" si="287"/>
        <v>Distrital</v>
      </c>
      <c r="P1174" s="87" t="s">
        <v>73</v>
      </c>
      <c r="Q1174" s="87"/>
      <c r="R1174" s="87"/>
      <c r="S1174" s="87"/>
      <c r="T1174" s="87"/>
      <c r="U1174" s="87"/>
      <c r="V1174" s="90" t="str">
        <f t="shared" si="288"/>
        <v>Distrital</v>
      </c>
      <c r="W1174" s="87" t="s">
        <v>73</v>
      </c>
      <c r="X1174" s="87"/>
      <c r="Y1174" s="87"/>
      <c r="Z1174" s="87"/>
      <c r="AA1174" s="87"/>
      <c r="AB1174" s="87"/>
      <c r="AC1174" s="90" t="str">
        <f t="shared" si="289"/>
        <v>Distrital</v>
      </c>
      <c r="AD1174" s="87" t="s">
        <v>73</v>
      </c>
      <c r="AE1174" s="87"/>
      <c r="AF1174" s="87"/>
      <c r="AG1174" s="87"/>
      <c r="AH1174" s="87"/>
      <c r="AI1174" s="87"/>
      <c r="AJ1174" s="87"/>
      <c r="AK1174" s="87"/>
      <c r="AL1174" s="87"/>
      <c r="AM1174" s="87"/>
      <c r="AN1174" s="90" t="s">
        <v>5262</v>
      </c>
      <c r="AO1174" s="90" t="s">
        <v>5263</v>
      </c>
      <c r="AP1174" s="82"/>
      <c r="AQ1174" s="87" t="s">
        <v>59</v>
      </c>
      <c r="AR1174" s="87" t="s">
        <v>80</v>
      </c>
      <c r="AS1174" s="82"/>
      <c r="AT1174" s="87">
        <v>8</v>
      </c>
      <c r="AU1174" s="87">
        <v>13</v>
      </c>
      <c r="AV1174" s="87">
        <f t="shared" si="285"/>
        <v>21</v>
      </c>
      <c r="AW1174" s="87" t="str">
        <f t="shared" ref="AW1174:AW1176" si="290">_xlfn.TEXTJOIN(", ",TRUE,$AX1174:$AZ1174)</f>
        <v/>
      </c>
      <c r="AX1174" s="87"/>
      <c r="AY1174" s="87"/>
      <c r="AZ1174" s="87"/>
      <c r="BA1174" s="91" t="s">
        <v>5264</v>
      </c>
      <c r="BB1174" s="84"/>
      <c r="BC1174" s="85"/>
      <c r="BD1174" s="85"/>
    </row>
    <row r="1175" spans="1:56" s="86" customFormat="1" ht="45.75" customHeight="1">
      <c r="A1175" s="87">
        <v>1170</v>
      </c>
      <c r="B1175" s="90" t="s">
        <v>5265</v>
      </c>
      <c r="C1175" s="88">
        <v>45590</v>
      </c>
      <c r="D1175" s="89">
        <v>0.70833333333333337</v>
      </c>
      <c r="E1175" s="87" t="s">
        <v>93</v>
      </c>
      <c r="F1175" s="87" t="s">
        <v>102</v>
      </c>
      <c r="G1175" s="87" t="s">
        <v>95</v>
      </c>
      <c r="H1175" s="90" t="s">
        <v>5266</v>
      </c>
      <c r="I1175" s="90" t="s">
        <v>118</v>
      </c>
      <c r="J1175" s="87" t="s">
        <v>173</v>
      </c>
      <c r="K1175" s="87"/>
      <c r="L1175" s="90" t="s">
        <v>5267</v>
      </c>
      <c r="M1175" s="91" t="s">
        <v>3950</v>
      </c>
      <c r="N1175" s="90" t="s">
        <v>3950</v>
      </c>
      <c r="O1175" s="90" t="str">
        <f t="shared" si="287"/>
        <v>Distrital</v>
      </c>
      <c r="P1175" s="87" t="s">
        <v>73</v>
      </c>
      <c r="Q1175" s="87"/>
      <c r="R1175" s="87"/>
      <c r="S1175" s="87"/>
      <c r="T1175" s="87"/>
      <c r="U1175" s="87"/>
      <c r="V1175" s="90" t="str">
        <f t="shared" si="288"/>
        <v>Distrital</v>
      </c>
      <c r="W1175" s="87" t="s">
        <v>73</v>
      </c>
      <c r="X1175" s="87"/>
      <c r="Y1175" s="87"/>
      <c r="Z1175" s="87"/>
      <c r="AA1175" s="87"/>
      <c r="AB1175" s="87"/>
      <c r="AC1175" s="90" t="str">
        <f t="shared" si="289"/>
        <v>Distrital</v>
      </c>
      <c r="AD1175" s="87" t="s">
        <v>73</v>
      </c>
      <c r="AE1175" s="87"/>
      <c r="AF1175" s="87"/>
      <c r="AG1175" s="87"/>
      <c r="AH1175" s="87"/>
      <c r="AI1175" s="87"/>
      <c r="AJ1175" s="87"/>
      <c r="AK1175" s="87"/>
      <c r="AL1175" s="87"/>
      <c r="AM1175" s="87"/>
      <c r="AN1175" s="90" t="s">
        <v>80</v>
      </c>
      <c r="AO1175" s="102" t="s">
        <v>5268</v>
      </c>
      <c r="AP1175" s="82"/>
      <c r="AQ1175" s="87" t="s">
        <v>59</v>
      </c>
      <c r="AR1175" s="87" t="s">
        <v>80</v>
      </c>
      <c r="AS1175" s="82"/>
      <c r="AT1175" s="87">
        <v>14</v>
      </c>
      <c r="AU1175" s="87">
        <v>1</v>
      </c>
      <c r="AV1175" s="87">
        <f>AT1175+AU1175</f>
        <v>15</v>
      </c>
      <c r="AW1175" s="87" t="str">
        <f>_xlfn.TEXTJOIN(", ",TRUE,$AX1175:$AZ1175)</f>
        <v>Ninguna</v>
      </c>
      <c r="AX1175" s="87" t="s">
        <v>75</v>
      </c>
      <c r="AY1175" s="87"/>
      <c r="AZ1175" s="87"/>
      <c r="BA1175" s="91" t="s">
        <v>5269</v>
      </c>
      <c r="BB1175" s="84"/>
      <c r="BC1175" s="85"/>
      <c r="BD1175" s="85"/>
    </row>
    <row r="1176" spans="1:56" s="86" customFormat="1" ht="43.5" customHeight="1">
      <c r="A1176" s="78">
        <v>1171</v>
      </c>
      <c r="B1176" s="79" t="s">
        <v>5270</v>
      </c>
      <c r="C1176" s="88">
        <v>45591</v>
      </c>
      <c r="D1176" s="89">
        <v>0.375</v>
      </c>
      <c r="E1176" s="87" t="s">
        <v>58</v>
      </c>
      <c r="F1176" s="87" t="s">
        <v>1184</v>
      </c>
      <c r="G1176" s="87" t="s">
        <v>62</v>
      </c>
      <c r="H1176" s="90" t="s">
        <v>5271</v>
      </c>
      <c r="I1176" s="90" t="s">
        <v>188</v>
      </c>
      <c r="J1176" s="87" t="s">
        <v>173</v>
      </c>
      <c r="K1176" s="87"/>
      <c r="L1176" s="90" t="s">
        <v>5272</v>
      </c>
      <c r="M1176" s="91" t="s">
        <v>5273</v>
      </c>
      <c r="N1176" s="90" t="s">
        <v>3042</v>
      </c>
      <c r="O1176" s="90" t="str">
        <f t="shared" si="287"/>
        <v>Usaquén</v>
      </c>
      <c r="P1176" s="87" t="s">
        <v>428</v>
      </c>
      <c r="Q1176" s="87"/>
      <c r="R1176" s="87"/>
      <c r="S1176" s="87"/>
      <c r="T1176" s="87"/>
      <c r="U1176" s="87"/>
      <c r="V1176" s="90" t="str">
        <f t="shared" si="288"/>
        <v>Norte</v>
      </c>
      <c r="W1176" s="87" t="s">
        <v>429</v>
      </c>
      <c r="X1176" s="87"/>
      <c r="Y1176" s="87"/>
      <c r="Z1176" s="87"/>
      <c r="AA1176" s="87"/>
      <c r="AB1176" s="87"/>
      <c r="AC1176" s="90" t="str">
        <f t="shared" si="289"/>
        <v>Usaquén, Torca</v>
      </c>
      <c r="AD1176" s="87" t="s">
        <v>428</v>
      </c>
      <c r="AE1176" s="87" t="s">
        <v>528</v>
      </c>
      <c r="AF1176" s="87"/>
      <c r="AG1176" s="87"/>
      <c r="AH1176" s="87"/>
      <c r="AI1176" s="87"/>
      <c r="AJ1176" s="87"/>
      <c r="AK1176" s="87"/>
      <c r="AL1176" s="87"/>
      <c r="AM1176" s="87"/>
      <c r="AN1176" s="90" t="s">
        <v>5274</v>
      </c>
      <c r="AO1176" s="90" t="s">
        <v>5275</v>
      </c>
      <c r="AP1176" s="82"/>
      <c r="AQ1176" s="87" t="s">
        <v>59</v>
      </c>
      <c r="AR1176" s="87" t="s">
        <v>80</v>
      </c>
      <c r="AS1176" s="82"/>
      <c r="AT1176" s="87">
        <v>4</v>
      </c>
      <c r="AU1176" s="87">
        <v>4</v>
      </c>
      <c r="AV1176" s="87">
        <f t="shared" si="285"/>
        <v>8</v>
      </c>
      <c r="AW1176" s="87" t="str">
        <f t="shared" si="290"/>
        <v>Accesibilidad Universal</v>
      </c>
      <c r="AX1176" s="87" t="s">
        <v>246</v>
      </c>
      <c r="AY1176" s="87"/>
      <c r="AZ1176" s="87"/>
      <c r="BA1176" s="91" t="s">
        <v>5276</v>
      </c>
      <c r="BB1176" s="84"/>
      <c r="BC1176" s="85"/>
      <c r="BD1176" s="85"/>
    </row>
    <row r="1177" spans="1:56" s="86" customFormat="1" ht="43.5" customHeight="1">
      <c r="A1177" s="87">
        <v>1172</v>
      </c>
      <c r="B1177" s="90" t="s">
        <v>5277</v>
      </c>
      <c r="C1177" s="88">
        <v>45592</v>
      </c>
      <c r="D1177" s="89">
        <v>0.66666666666666663</v>
      </c>
      <c r="E1177" s="87" t="s">
        <v>58</v>
      </c>
      <c r="F1177" s="87" t="s">
        <v>2121</v>
      </c>
      <c r="G1177" s="87" t="s">
        <v>62</v>
      </c>
      <c r="H1177" s="90" t="s">
        <v>5278</v>
      </c>
      <c r="I1177" s="90" t="s">
        <v>118</v>
      </c>
      <c r="J1177" s="87" t="s">
        <v>173</v>
      </c>
      <c r="K1177" s="87"/>
      <c r="L1177" s="90" t="s">
        <v>5279</v>
      </c>
      <c r="M1177" s="91" t="s">
        <v>5280</v>
      </c>
      <c r="N1177" s="90" t="s">
        <v>5281</v>
      </c>
      <c r="O1177" s="90" t="str">
        <f t="shared" si="287"/>
        <v>Engativá</v>
      </c>
      <c r="P1177" s="87" t="s">
        <v>123</v>
      </c>
      <c r="Q1177" s="87"/>
      <c r="R1177" s="87"/>
      <c r="S1177" s="87"/>
      <c r="T1177" s="87"/>
      <c r="U1177" s="87"/>
      <c r="V1177" s="90" t="str">
        <f t="shared" si="288"/>
        <v>Occidente</v>
      </c>
      <c r="W1177" s="87" t="s">
        <v>124</v>
      </c>
      <c r="X1177" s="87"/>
      <c r="Y1177" s="87"/>
      <c r="Z1177" s="87"/>
      <c r="AA1177" s="87"/>
      <c r="AB1177" s="87"/>
      <c r="AC1177" s="90" t="str">
        <f t="shared" si="289"/>
        <v>Engativá</v>
      </c>
      <c r="AD1177" s="87" t="s">
        <v>123</v>
      </c>
      <c r="AE1177" s="87"/>
      <c r="AF1177" s="87"/>
      <c r="AG1177" s="87"/>
      <c r="AH1177" s="87"/>
      <c r="AI1177" s="87"/>
      <c r="AJ1177" s="87"/>
      <c r="AK1177" s="87"/>
      <c r="AL1177" s="87"/>
      <c r="AM1177" s="87"/>
      <c r="AN1177" s="90" t="s">
        <v>2672</v>
      </c>
      <c r="AO1177" s="90" t="s">
        <v>5282</v>
      </c>
      <c r="AP1177" s="82"/>
      <c r="AQ1177" s="87" t="s">
        <v>59</v>
      </c>
      <c r="AR1177" s="87" t="s">
        <v>80</v>
      </c>
      <c r="AS1177" s="82"/>
      <c r="AT1177" s="87">
        <v>32</v>
      </c>
      <c r="AU1177" s="87">
        <v>1</v>
      </c>
      <c r="AV1177" s="87">
        <f t="shared" si="285"/>
        <v>33</v>
      </c>
      <c r="AW1177" s="87" t="str">
        <f t="shared" ref="AW1177:AW1187" si="291">_xlfn.TEXTJOIN(", ",TRUE,$AX1177:$AZ1177)</f>
        <v>Accesibilidad Universal</v>
      </c>
      <c r="AX1177" s="87" t="s">
        <v>246</v>
      </c>
      <c r="AY1177" s="87"/>
      <c r="AZ1177" s="87"/>
      <c r="BA1177" s="91" t="s">
        <v>5283</v>
      </c>
      <c r="BB1177" s="84"/>
      <c r="BC1177" s="85"/>
      <c r="BD1177" s="85"/>
    </row>
    <row r="1178" spans="1:56" s="86" customFormat="1" ht="42.75" customHeight="1">
      <c r="A1178" s="78">
        <v>1173</v>
      </c>
      <c r="B1178" s="90" t="s">
        <v>5155</v>
      </c>
      <c r="C1178" s="88">
        <v>45593</v>
      </c>
      <c r="D1178" s="89">
        <v>0.33333333333333331</v>
      </c>
      <c r="E1178" s="87" t="s">
        <v>58</v>
      </c>
      <c r="F1178" s="87" t="s">
        <v>1343</v>
      </c>
      <c r="G1178" s="87" t="s">
        <v>95</v>
      </c>
      <c r="H1178" s="90" t="s">
        <v>5284</v>
      </c>
      <c r="I1178" s="90" t="s">
        <v>118</v>
      </c>
      <c r="J1178" s="87" t="s">
        <v>70</v>
      </c>
      <c r="K1178" s="87" t="s">
        <v>71</v>
      </c>
      <c r="L1178" s="90" t="s">
        <v>80</v>
      </c>
      <c r="M1178" s="91" t="s">
        <v>80</v>
      </c>
      <c r="N1178" s="90" t="s">
        <v>80</v>
      </c>
      <c r="O1178" s="90" t="str">
        <f t="shared" si="287"/>
        <v>Distrital</v>
      </c>
      <c r="P1178" s="87" t="s">
        <v>73</v>
      </c>
      <c r="Q1178" s="87"/>
      <c r="R1178" s="87"/>
      <c r="S1178" s="87"/>
      <c r="T1178" s="87"/>
      <c r="U1178" s="87"/>
      <c r="V1178" s="90" t="str">
        <f t="shared" si="288"/>
        <v>Distrital</v>
      </c>
      <c r="W1178" s="87" t="s">
        <v>73</v>
      </c>
      <c r="X1178" s="87"/>
      <c r="Y1178" s="87"/>
      <c r="Z1178" s="87"/>
      <c r="AA1178" s="87"/>
      <c r="AB1178" s="87"/>
      <c r="AC1178" s="90" t="str">
        <f t="shared" si="289"/>
        <v>Distrital</v>
      </c>
      <c r="AD1178" s="87" t="s">
        <v>73</v>
      </c>
      <c r="AE1178" s="87"/>
      <c r="AF1178" s="87"/>
      <c r="AG1178" s="87"/>
      <c r="AH1178" s="87"/>
      <c r="AI1178" s="87"/>
      <c r="AJ1178" s="87"/>
      <c r="AK1178" s="87"/>
      <c r="AL1178" s="87"/>
      <c r="AM1178" s="87"/>
      <c r="AN1178" s="90" t="s">
        <v>80</v>
      </c>
      <c r="AO1178" s="102" t="s">
        <v>2667</v>
      </c>
      <c r="AP1178" s="82"/>
      <c r="AQ1178" s="87" t="s">
        <v>59</v>
      </c>
      <c r="AR1178" s="87" t="s">
        <v>80</v>
      </c>
      <c r="AS1178" s="82"/>
      <c r="AT1178" s="87">
        <v>0</v>
      </c>
      <c r="AU1178" s="87">
        <v>3</v>
      </c>
      <c r="AV1178" s="87">
        <f t="shared" ref="AV1178:AV1187" si="292">AT1178+AU1178</f>
        <v>3</v>
      </c>
      <c r="AW1178" s="87" t="str">
        <f t="shared" si="291"/>
        <v>Ninguna</v>
      </c>
      <c r="AX1178" s="87" t="s">
        <v>75</v>
      </c>
      <c r="AY1178" s="87"/>
      <c r="AZ1178" s="87"/>
      <c r="BA1178" s="91" t="s">
        <v>5285</v>
      </c>
      <c r="BB1178" s="84"/>
      <c r="BC1178" s="85"/>
      <c r="BD1178" s="85"/>
    </row>
    <row r="1179" spans="1:56" s="86" customFormat="1" ht="41.25" customHeight="1">
      <c r="A1179" s="87">
        <v>1174</v>
      </c>
      <c r="B1179" s="90" t="s">
        <v>5286</v>
      </c>
      <c r="C1179" s="88">
        <v>45593</v>
      </c>
      <c r="D1179" s="89">
        <v>0.39583333333333331</v>
      </c>
      <c r="E1179" s="87" t="s">
        <v>58</v>
      </c>
      <c r="F1179" s="87" t="s">
        <v>1437</v>
      </c>
      <c r="G1179" s="87" t="s">
        <v>62</v>
      </c>
      <c r="H1179" s="90" t="s">
        <v>5287</v>
      </c>
      <c r="I1179" s="90" t="s">
        <v>118</v>
      </c>
      <c r="J1179" s="87" t="s">
        <v>70</v>
      </c>
      <c r="K1179" s="87" t="s">
        <v>71</v>
      </c>
      <c r="L1179" s="90" t="s">
        <v>80</v>
      </c>
      <c r="M1179" s="90" t="s">
        <v>80</v>
      </c>
      <c r="N1179" s="90" t="s">
        <v>80</v>
      </c>
      <c r="O1179" s="90" t="str">
        <f t="shared" si="287"/>
        <v>Distrital</v>
      </c>
      <c r="P1179" s="87" t="s">
        <v>73</v>
      </c>
      <c r="Q1179" s="87"/>
      <c r="R1179" s="87"/>
      <c r="S1179" s="87"/>
      <c r="T1179" s="87"/>
      <c r="U1179" s="87"/>
      <c r="V1179" s="90" t="str">
        <f t="shared" si="288"/>
        <v>Distrital</v>
      </c>
      <c r="W1179" s="87" t="s">
        <v>73</v>
      </c>
      <c r="X1179" s="87"/>
      <c r="Y1179" s="87"/>
      <c r="Z1179" s="87"/>
      <c r="AA1179" s="87"/>
      <c r="AB1179" s="87"/>
      <c r="AC1179" s="90" t="str">
        <f t="shared" si="289"/>
        <v>Distrital</v>
      </c>
      <c r="AD1179" s="87" t="s">
        <v>73</v>
      </c>
      <c r="AE1179" s="87"/>
      <c r="AF1179" s="87"/>
      <c r="AG1179" s="87"/>
      <c r="AH1179" s="87"/>
      <c r="AI1179" s="87"/>
      <c r="AJ1179" s="87"/>
      <c r="AK1179" s="87"/>
      <c r="AL1179" s="87"/>
      <c r="AM1179" s="87"/>
      <c r="AN1179" s="90" t="s">
        <v>5288</v>
      </c>
      <c r="AO1179" s="90" t="s">
        <v>5289</v>
      </c>
      <c r="AP1179" s="82"/>
      <c r="AQ1179" s="87" t="s">
        <v>59</v>
      </c>
      <c r="AR1179" s="87" t="s">
        <v>80</v>
      </c>
      <c r="AS1179" s="82"/>
      <c r="AT1179" s="87">
        <v>30</v>
      </c>
      <c r="AU1179" s="87">
        <v>3</v>
      </c>
      <c r="AV1179" s="87">
        <f t="shared" si="292"/>
        <v>33</v>
      </c>
      <c r="AW1179" s="87" t="str">
        <f t="shared" si="291"/>
        <v>Ninguna</v>
      </c>
      <c r="AX1179" s="87" t="s">
        <v>75</v>
      </c>
      <c r="AY1179" s="87"/>
      <c r="AZ1179" s="87"/>
      <c r="BA1179" s="91" t="s">
        <v>5290</v>
      </c>
      <c r="BB1179" s="84"/>
      <c r="BC1179" s="85"/>
      <c r="BD1179" s="85"/>
    </row>
    <row r="1180" spans="1:56" s="86" customFormat="1" ht="51" customHeight="1">
      <c r="A1180" s="78">
        <v>1175</v>
      </c>
      <c r="B1180" s="90" t="s">
        <v>5291</v>
      </c>
      <c r="C1180" s="88">
        <v>45593</v>
      </c>
      <c r="D1180" s="89">
        <v>0.45833333333333331</v>
      </c>
      <c r="E1180" s="87" t="s">
        <v>58</v>
      </c>
      <c r="F1180" s="87" t="s">
        <v>1437</v>
      </c>
      <c r="G1180" s="87" t="s">
        <v>95</v>
      </c>
      <c r="H1180" s="90" t="s">
        <v>5292</v>
      </c>
      <c r="I1180" s="90" t="s">
        <v>118</v>
      </c>
      <c r="J1180" s="87" t="s">
        <v>173</v>
      </c>
      <c r="K1180" s="87"/>
      <c r="L1180" s="90" t="s">
        <v>80</v>
      </c>
      <c r="M1180" s="90" t="s">
        <v>80</v>
      </c>
      <c r="N1180" s="90" t="s">
        <v>80</v>
      </c>
      <c r="O1180" s="90" t="str">
        <f t="shared" si="287"/>
        <v>Distrital</v>
      </c>
      <c r="P1180" s="87" t="s">
        <v>73</v>
      </c>
      <c r="Q1180" s="87"/>
      <c r="R1180" s="87"/>
      <c r="S1180" s="87"/>
      <c r="T1180" s="87"/>
      <c r="U1180" s="87"/>
      <c r="V1180" s="90" t="str">
        <f t="shared" si="288"/>
        <v>Distrital</v>
      </c>
      <c r="W1180" s="87" t="s">
        <v>73</v>
      </c>
      <c r="X1180" s="87"/>
      <c r="Y1180" s="87"/>
      <c r="Z1180" s="87"/>
      <c r="AA1180" s="87"/>
      <c r="AB1180" s="87"/>
      <c r="AC1180" s="90" t="str">
        <f t="shared" si="289"/>
        <v>Distrital</v>
      </c>
      <c r="AD1180" s="87" t="s">
        <v>73</v>
      </c>
      <c r="AE1180" s="87"/>
      <c r="AF1180" s="87"/>
      <c r="AG1180" s="87"/>
      <c r="AH1180" s="87"/>
      <c r="AI1180" s="87"/>
      <c r="AJ1180" s="87"/>
      <c r="AK1180" s="87"/>
      <c r="AL1180" s="87"/>
      <c r="AM1180" s="87"/>
      <c r="AN1180" s="90" t="s">
        <v>80</v>
      </c>
      <c r="AO1180" s="102" t="s">
        <v>2667</v>
      </c>
      <c r="AP1180" s="82"/>
      <c r="AQ1180" s="87" t="s">
        <v>59</v>
      </c>
      <c r="AR1180" s="87" t="s">
        <v>80</v>
      </c>
      <c r="AS1180" s="82"/>
      <c r="AT1180" s="87">
        <v>3</v>
      </c>
      <c r="AU1180" s="87">
        <v>4</v>
      </c>
      <c r="AV1180" s="87">
        <f t="shared" si="292"/>
        <v>7</v>
      </c>
      <c r="AW1180" s="87" t="str">
        <f t="shared" si="291"/>
        <v>Ninguna</v>
      </c>
      <c r="AX1180" s="87" t="s">
        <v>75</v>
      </c>
      <c r="AY1180" s="87"/>
      <c r="AZ1180" s="87"/>
      <c r="BA1180" s="91" t="s">
        <v>5293</v>
      </c>
      <c r="BB1180" s="84"/>
      <c r="BC1180" s="85"/>
      <c r="BD1180" s="85"/>
    </row>
    <row r="1181" spans="1:56" s="86" customFormat="1" ht="38.25" customHeight="1">
      <c r="A1181" s="87">
        <v>1176</v>
      </c>
      <c r="B1181" s="90" t="s">
        <v>5294</v>
      </c>
      <c r="C1181" s="88">
        <v>45593</v>
      </c>
      <c r="D1181" s="89">
        <v>0.70833333333333337</v>
      </c>
      <c r="E1181" s="87" t="s">
        <v>93</v>
      </c>
      <c r="F1181" s="87" t="s">
        <v>102</v>
      </c>
      <c r="G1181" s="87" t="s">
        <v>95</v>
      </c>
      <c r="H1181" s="90" t="s">
        <v>5295</v>
      </c>
      <c r="I1181" s="90" t="s">
        <v>118</v>
      </c>
      <c r="J1181" s="87" t="s">
        <v>70</v>
      </c>
      <c r="K1181" s="87" t="s">
        <v>129</v>
      </c>
      <c r="L1181" s="90" t="s">
        <v>3989</v>
      </c>
      <c r="M1181" s="91" t="s">
        <v>2635</v>
      </c>
      <c r="N1181" s="90" t="s">
        <v>1351</v>
      </c>
      <c r="O1181" s="90" t="str">
        <f t="shared" si="287"/>
        <v>Distrital</v>
      </c>
      <c r="P1181" s="87" t="s">
        <v>73</v>
      </c>
      <c r="Q1181" s="87"/>
      <c r="R1181" s="87"/>
      <c r="S1181" s="87"/>
      <c r="T1181" s="87"/>
      <c r="U1181" s="87"/>
      <c r="V1181" s="90" t="str">
        <f t="shared" si="288"/>
        <v>Distrital</v>
      </c>
      <c r="W1181" s="87" t="s">
        <v>73</v>
      </c>
      <c r="X1181" s="87"/>
      <c r="Y1181" s="87"/>
      <c r="Z1181" s="87"/>
      <c r="AA1181" s="87"/>
      <c r="AB1181" s="87"/>
      <c r="AC1181" s="90" t="str">
        <f t="shared" si="289"/>
        <v>Distrital</v>
      </c>
      <c r="AD1181" s="87" t="s">
        <v>73</v>
      </c>
      <c r="AE1181" s="87"/>
      <c r="AF1181" s="87"/>
      <c r="AG1181" s="87"/>
      <c r="AH1181" s="87"/>
      <c r="AI1181" s="87"/>
      <c r="AJ1181" s="87"/>
      <c r="AK1181" s="87"/>
      <c r="AL1181" s="87"/>
      <c r="AM1181" s="87"/>
      <c r="AN1181" s="90" t="s">
        <v>80</v>
      </c>
      <c r="AO1181" s="102" t="s">
        <v>2667</v>
      </c>
      <c r="AP1181" s="82"/>
      <c r="AQ1181" s="87" t="s">
        <v>59</v>
      </c>
      <c r="AR1181" s="87" t="s">
        <v>80</v>
      </c>
      <c r="AS1181" s="82"/>
      <c r="AT1181" s="87">
        <v>25</v>
      </c>
      <c r="AU1181" s="87">
        <v>2</v>
      </c>
      <c r="AV1181" s="87">
        <f t="shared" si="292"/>
        <v>27</v>
      </c>
      <c r="AW1181" s="87" t="str">
        <f t="shared" si="291"/>
        <v>Ninguna</v>
      </c>
      <c r="AX1181" s="87" t="s">
        <v>75</v>
      </c>
      <c r="AY1181" s="87"/>
      <c r="AZ1181" s="87"/>
      <c r="BA1181" s="91" t="s">
        <v>5296</v>
      </c>
      <c r="BB1181" s="84"/>
      <c r="BC1181" s="85"/>
      <c r="BD1181" s="85"/>
    </row>
    <row r="1182" spans="1:56" s="86" customFormat="1" ht="43.5" customHeight="1">
      <c r="A1182" s="78">
        <v>1177</v>
      </c>
      <c r="B1182" s="79" t="s">
        <v>2337</v>
      </c>
      <c r="C1182" s="88">
        <v>45594</v>
      </c>
      <c r="D1182" s="89">
        <v>0.41666666666666669</v>
      </c>
      <c r="E1182" s="87" t="s">
        <v>93</v>
      </c>
      <c r="F1182" s="87" t="s">
        <v>321</v>
      </c>
      <c r="G1182" s="87" t="s">
        <v>62</v>
      </c>
      <c r="H1182" s="90" t="s">
        <v>5297</v>
      </c>
      <c r="I1182" s="90" t="s">
        <v>118</v>
      </c>
      <c r="J1182" s="87" t="s">
        <v>70</v>
      </c>
      <c r="K1182" s="87" t="s">
        <v>1810</v>
      </c>
      <c r="L1182" s="90" t="s">
        <v>5298</v>
      </c>
      <c r="M1182" s="91" t="s">
        <v>5299</v>
      </c>
      <c r="N1182" s="90" t="s">
        <v>4708</v>
      </c>
      <c r="O1182" s="90" t="str">
        <f t="shared" si="287"/>
        <v>Los Mártires</v>
      </c>
      <c r="P1182" s="87" t="s">
        <v>542</v>
      </c>
      <c r="Q1182" s="87"/>
      <c r="R1182" s="87"/>
      <c r="S1182" s="87"/>
      <c r="T1182" s="87"/>
      <c r="U1182" s="87"/>
      <c r="V1182" s="90" t="str">
        <f t="shared" si="288"/>
        <v>Centro Ampliado</v>
      </c>
      <c r="W1182" s="87" t="s">
        <v>415</v>
      </c>
      <c r="X1182" s="87"/>
      <c r="Y1182" s="87"/>
      <c r="Z1182" s="87"/>
      <c r="AA1182" s="87"/>
      <c r="AB1182" s="87"/>
      <c r="AC1182" s="90" t="str">
        <f t="shared" si="289"/>
        <v>Centro Histórico</v>
      </c>
      <c r="AD1182" s="87" t="s">
        <v>488</v>
      </c>
      <c r="AE1182" s="87"/>
      <c r="AF1182" s="87"/>
      <c r="AG1182" s="87"/>
      <c r="AH1182" s="87"/>
      <c r="AI1182" s="87"/>
      <c r="AJ1182" s="87"/>
      <c r="AK1182" s="87"/>
      <c r="AL1182" s="87"/>
      <c r="AM1182" s="87"/>
      <c r="AN1182" s="90" t="s">
        <v>2339</v>
      </c>
      <c r="AO1182" s="90" t="s">
        <v>5300</v>
      </c>
      <c r="AP1182" s="82"/>
      <c r="AQ1182" s="87" t="s">
        <v>59</v>
      </c>
      <c r="AR1182" s="87" t="s">
        <v>80</v>
      </c>
      <c r="AS1182" s="82"/>
      <c r="AT1182" s="87">
        <v>15</v>
      </c>
      <c r="AU1182" s="87">
        <v>1</v>
      </c>
      <c r="AV1182" s="87">
        <f t="shared" si="292"/>
        <v>16</v>
      </c>
      <c r="AW1182" s="87" t="str">
        <f t="shared" si="291"/>
        <v>Ninguna</v>
      </c>
      <c r="AX1182" s="87" t="s">
        <v>75</v>
      </c>
      <c r="AY1182" s="87"/>
      <c r="AZ1182" s="87"/>
      <c r="BA1182" s="91" t="s">
        <v>5301</v>
      </c>
      <c r="BB1182" s="84"/>
      <c r="BC1182" s="85"/>
      <c r="BD1182" s="85"/>
    </row>
    <row r="1183" spans="1:56" s="86" customFormat="1" ht="51.75" customHeight="1">
      <c r="A1183" s="87">
        <v>1178</v>
      </c>
      <c r="B1183" s="90" t="s">
        <v>5302</v>
      </c>
      <c r="C1183" s="88">
        <v>45594</v>
      </c>
      <c r="D1183" s="89">
        <v>0.56944444444444442</v>
      </c>
      <c r="E1183" s="87" t="s">
        <v>58</v>
      </c>
      <c r="F1183" s="87" t="s">
        <v>1142</v>
      </c>
      <c r="G1183" s="87" t="s">
        <v>62</v>
      </c>
      <c r="H1183" s="90" t="s">
        <v>5303</v>
      </c>
      <c r="I1183" s="90" t="s">
        <v>118</v>
      </c>
      <c r="J1183" s="87" t="s">
        <v>70</v>
      </c>
      <c r="K1183" s="87" t="s">
        <v>71</v>
      </c>
      <c r="L1183" s="90" t="s">
        <v>5304</v>
      </c>
      <c r="M1183" s="91" t="s">
        <v>4799</v>
      </c>
      <c r="N1183" s="90" t="s">
        <v>5305</v>
      </c>
      <c r="O1183" s="90" t="str">
        <f t="shared" si="287"/>
        <v>Distrital</v>
      </c>
      <c r="P1183" s="87" t="s">
        <v>73</v>
      </c>
      <c r="Q1183" s="87"/>
      <c r="R1183" s="87"/>
      <c r="S1183" s="87"/>
      <c r="T1183" s="87"/>
      <c r="U1183" s="87"/>
      <c r="V1183" s="90" t="str">
        <f t="shared" si="288"/>
        <v>Distrital</v>
      </c>
      <c r="W1183" s="87" t="s">
        <v>73</v>
      </c>
      <c r="X1183" s="87"/>
      <c r="Y1183" s="87"/>
      <c r="Z1183" s="87"/>
      <c r="AA1183" s="87"/>
      <c r="AB1183" s="87"/>
      <c r="AC1183" s="90" t="str">
        <f t="shared" si="289"/>
        <v>Distrital</v>
      </c>
      <c r="AD1183" s="87" t="s">
        <v>73</v>
      </c>
      <c r="AE1183" s="87"/>
      <c r="AF1183" s="87"/>
      <c r="AG1183" s="87"/>
      <c r="AH1183" s="87"/>
      <c r="AI1183" s="87"/>
      <c r="AJ1183" s="87"/>
      <c r="AK1183" s="87"/>
      <c r="AL1183" s="87"/>
      <c r="AM1183" s="87"/>
      <c r="AN1183" s="90" t="s">
        <v>80</v>
      </c>
      <c r="AO1183" s="90" t="s">
        <v>5306</v>
      </c>
      <c r="AP1183" s="82"/>
      <c r="AQ1183" s="87" t="s">
        <v>59</v>
      </c>
      <c r="AR1183" s="87" t="s">
        <v>80</v>
      </c>
      <c r="AS1183" s="82"/>
      <c r="AT1183" s="87">
        <v>2</v>
      </c>
      <c r="AU1183" s="87">
        <v>7</v>
      </c>
      <c r="AV1183" s="87">
        <f t="shared" si="292"/>
        <v>9</v>
      </c>
      <c r="AW1183" s="87" t="str">
        <f t="shared" si="291"/>
        <v>Ninguna</v>
      </c>
      <c r="AX1183" s="87" t="s">
        <v>75</v>
      </c>
      <c r="AY1183" s="87"/>
      <c r="AZ1183" s="87"/>
      <c r="BA1183" s="91" t="s">
        <v>5307</v>
      </c>
      <c r="BB1183" s="84"/>
      <c r="BC1183" s="85"/>
      <c r="BD1183" s="85"/>
    </row>
    <row r="1184" spans="1:56" s="86" customFormat="1" ht="37.5" customHeight="1">
      <c r="A1184" s="78">
        <v>1179</v>
      </c>
      <c r="B1184" s="90" t="s">
        <v>5308</v>
      </c>
      <c r="C1184" s="88">
        <v>45594</v>
      </c>
      <c r="D1184" s="89">
        <v>0.58333333333333337</v>
      </c>
      <c r="E1184" s="87" t="s">
        <v>58</v>
      </c>
      <c r="F1184" s="87" t="s">
        <v>116</v>
      </c>
      <c r="G1184" s="87" t="s">
        <v>62</v>
      </c>
      <c r="H1184" s="90" t="s">
        <v>5309</v>
      </c>
      <c r="I1184" s="90" t="s">
        <v>118</v>
      </c>
      <c r="J1184" s="87" t="s">
        <v>119</v>
      </c>
      <c r="K1184" s="87" t="s">
        <v>1322</v>
      </c>
      <c r="L1184" s="90" t="s">
        <v>5310</v>
      </c>
      <c r="M1184" s="91" t="s">
        <v>5178</v>
      </c>
      <c r="N1184" s="90" t="s">
        <v>5179</v>
      </c>
      <c r="O1184" s="90" t="str">
        <f t="shared" si="287"/>
        <v>Fontibón</v>
      </c>
      <c r="P1184" s="87" t="s">
        <v>420</v>
      </c>
      <c r="Q1184" s="87"/>
      <c r="R1184" s="87"/>
      <c r="S1184" s="87"/>
      <c r="T1184" s="87"/>
      <c r="U1184" s="87"/>
      <c r="V1184" s="90" t="str">
        <f t="shared" si="288"/>
        <v>Occidente</v>
      </c>
      <c r="W1184" s="87" t="s">
        <v>124</v>
      </c>
      <c r="X1184" s="87"/>
      <c r="Y1184" s="87"/>
      <c r="Z1184" s="87"/>
      <c r="AA1184" s="87"/>
      <c r="AB1184" s="87"/>
      <c r="AC1184" s="90" t="str">
        <f t="shared" si="289"/>
        <v>Fontibón</v>
      </c>
      <c r="AD1184" s="87" t="s">
        <v>420</v>
      </c>
      <c r="AE1184" s="87"/>
      <c r="AF1184" s="87"/>
      <c r="AG1184" s="87"/>
      <c r="AH1184" s="87"/>
      <c r="AI1184" s="87"/>
      <c r="AJ1184" s="87"/>
      <c r="AK1184" s="87"/>
      <c r="AL1184" s="87"/>
      <c r="AM1184" s="87"/>
      <c r="AN1184" s="90" t="s">
        <v>1645</v>
      </c>
      <c r="AO1184" s="90" t="s">
        <v>5311</v>
      </c>
      <c r="AP1184" s="82"/>
      <c r="AQ1184" s="87" t="s">
        <v>59</v>
      </c>
      <c r="AR1184" s="87" t="s">
        <v>80</v>
      </c>
      <c r="AS1184" s="82"/>
      <c r="AT1184" s="87">
        <v>7</v>
      </c>
      <c r="AU1184" s="87">
        <v>1</v>
      </c>
      <c r="AV1184" s="87">
        <f t="shared" si="292"/>
        <v>8</v>
      </c>
      <c r="AW1184" s="87" t="str">
        <f t="shared" si="291"/>
        <v>Ninguna</v>
      </c>
      <c r="AX1184" s="87" t="s">
        <v>75</v>
      </c>
      <c r="AY1184" s="87"/>
      <c r="AZ1184" s="87"/>
      <c r="BA1184" s="91" t="s">
        <v>5312</v>
      </c>
      <c r="BB1184" s="84"/>
      <c r="BC1184" s="85"/>
      <c r="BD1184" s="85"/>
    </row>
    <row r="1185" spans="1:56" s="86" customFormat="1" ht="37.5" customHeight="1">
      <c r="A1185" s="87">
        <v>1180</v>
      </c>
      <c r="B1185" s="90" t="s">
        <v>5313</v>
      </c>
      <c r="C1185" s="88">
        <v>45594</v>
      </c>
      <c r="D1185" s="89">
        <v>0.625</v>
      </c>
      <c r="E1185" s="87" t="s">
        <v>93</v>
      </c>
      <c r="F1185" s="87" t="s">
        <v>102</v>
      </c>
      <c r="G1185" s="87" t="s">
        <v>95</v>
      </c>
      <c r="H1185" s="90" t="s">
        <v>5314</v>
      </c>
      <c r="I1185" s="90" t="s">
        <v>118</v>
      </c>
      <c r="J1185" s="87" t="s">
        <v>173</v>
      </c>
      <c r="K1185" s="87"/>
      <c r="L1185" s="90" t="s">
        <v>5315</v>
      </c>
      <c r="M1185" s="91" t="s">
        <v>5316</v>
      </c>
      <c r="N1185" s="90" t="s">
        <v>5317</v>
      </c>
      <c r="O1185" s="90" t="str">
        <f t="shared" si="287"/>
        <v>Distrital</v>
      </c>
      <c r="P1185" s="87" t="s">
        <v>73</v>
      </c>
      <c r="Q1185" s="87"/>
      <c r="R1185" s="87"/>
      <c r="S1185" s="87"/>
      <c r="T1185" s="87"/>
      <c r="U1185" s="87"/>
      <c r="V1185" s="90" t="str">
        <f t="shared" si="288"/>
        <v>Distrital</v>
      </c>
      <c r="W1185" s="87" t="s">
        <v>73</v>
      </c>
      <c r="X1185" s="87"/>
      <c r="Y1185" s="87"/>
      <c r="Z1185" s="87"/>
      <c r="AA1185" s="87"/>
      <c r="AB1185" s="87"/>
      <c r="AC1185" s="90" t="str">
        <f t="shared" si="289"/>
        <v>Distrital</v>
      </c>
      <c r="AD1185" s="87" t="s">
        <v>73</v>
      </c>
      <c r="AE1185" s="87"/>
      <c r="AF1185" s="87"/>
      <c r="AG1185" s="87"/>
      <c r="AH1185" s="87"/>
      <c r="AI1185" s="87"/>
      <c r="AJ1185" s="87"/>
      <c r="AK1185" s="87"/>
      <c r="AL1185" s="87"/>
      <c r="AM1185" s="87"/>
      <c r="AN1185" s="90" t="s">
        <v>80</v>
      </c>
      <c r="AO1185" s="102" t="s">
        <v>2667</v>
      </c>
      <c r="AP1185" s="82"/>
      <c r="AQ1185" s="87" t="s">
        <v>59</v>
      </c>
      <c r="AR1185" s="87" t="s">
        <v>80</v>
      </c>
      <c r="AS1185" s="82"/>
      <c r="AT1185" s="87">
        <v>4</v>
      </c>
      <c r="AU1185" s="87">
        <v>1</v>
      </c>
      <c r="AV1185" s="87">
        <f t="shared" si="292"/>
        <v>5</v>
      </c>
      <c r="AW1185" s="87" t="str">
        <f t="shared" si="291"/>
        <v>Ninguna</v>
      </c>
      <c r="AX1185" s="87" t="s">
        <v>75</v>
      </c>
      <c r="AY1185" s="87"/>
      <c r="AZ1185" s="87"/>
      <c r="BA1185" s="91" t="s">
        <v>5318</v>
      </c>
      <c r="BB1185" s="84"/>
      <c r="BC1185" s="85"/>
      <c r="BD1185" s="85"/>
    </row>
    <row r="1186" spans="1:56" s="86" customFormat="1" ht="42.75" customHeight="1">
      <c r="A1186" s="78">
        <v>1181</v>
      </c>
      <c r="B1186" s="90" t="s">
        <v>5319</v>
      </c>
      <c r="C1186" s="88">
        <v>45595</v>
      </c>
      <c r="D1186" s="89">
        <v>0.3125</v>
      </c>
      <c r="E1186" s="87" t="s">
        <v>58</v>
      </c>
      <c r="F1186" s="87" t="s">
        <v>1184</v>
      </c>
      <c r="G1186" s="87" t="s">
        <v>62</v>
      </c>
      <c r="H1186" s="90" t="s">
        <v>5320</v>
      </c>
      <c r="I1186" s="90" t="s">
        <v>118</v>
      </c>
      <c r="J1186" s="87" t="s">
        <v>119</v>
      </c>
      <c r="K1186" s="87"/>
      <c r="L1186" s="90" t="s">
        <v>5321</v>
      </c>
      <c r="M1186" s="91" t="s">
        <v>4898</v>
      </c>
      <c r="N1186" s="90" t="s">
        <v>5322</v>
      </c>
      <c r="O1186" s="90" t="str">
        <f t="shared" si="287"/>
        <v>Suba</v>
      </c>
      <c r="P1186" s="87" t="s">
        <v>394</v>
      </c>
      <c r="Q1186" s="87"/>
      <c r="R1186" s="87"/>
      <c r="S1186" s="87"/>
      <c r="T1186" s="87"/>
      <c r="U1186" s="87"/>
      <c r="V1186" s="90" t="str">
        <f t="shared" si="288"/>
        <v>Noroccidente</v>
      </c>
      <c r="W1186" s="87" t="s">
        <v>395</v>
      </c>
      <c r="X1186" s="87"/>
      <c r="Y1186" s="87"/>
      <c r="Z1186" s="87"/>
      <c r="AA1186" s="87"/>
      <c r="AB1186" s="87"/>
      <c r="AC1186" s="90" t="str">
        <f t="shared" si="289"/>
        <v>Suba, Tibabuyes</v>
      </c>
      <c r="AD1186" s="87" t="s">
        <v>394</v>
      </c>
      <c r="AE1186" s="87" t="s">
        <v>924</v>
      </c>
      <c r="AF1186" s="87"/>
      <c r="AG1186" s="87"/>
      <c r="AH1186" s="87"/>
      <c r="AI1186" s="87"/>
      <c r="AJ1186" s="87"/>
      <c r="AK1186" s="87"/>
      <c r="AL1186" s="87"/>
      <c r="AM1186" s="87"/>
      <c r="AN1186" s="90" t="s">
        <v>4900</v>
      </c>
      <c r="AO1186" s="90" t="s">
        <v>5323</v>
      </c>
      <c r="AP1186" s="82"/>
      <c r="AQ1186" s="87" t="s">
        <v>59</v>
      </c>
      <c r="AR1186" s="87" t="s">
        <v>80</v>
      </c>
      <c r="AS1186" s="82"/>
      <c r="AT1186" s="87">
        <v>14</v>
      </c>
      <c r="AU1186" s="87">
        <v>3</v>
      </c>
      <c r="AV1186" s="87">
        <f t="shared" si="292"/>
        <v>17</v>
      </c>
      <c r="AW1186" s="87" t="str">
        <f t="shared" si="291"/>
        <v>Ninguna</v>
      </c>
      <c r="AX1186" s="87" t="s">
        <v>75</v>
      </c>
      <c r="AY1186" s="87"/>
      <c r="AZ1186" s="87"/>
      <c r="BA1186" s="91" t="s">
        <v>5324</v>
      </c>
      <c r="BB1186" s="84"/>
      <c r="BC1186" s="85"/>
      <c r="BD1186" s="85"/>
    </row>
    <row r="1187" spans="1:56" s="86" customFormat="1" ht="41.25" customHeight="1">
      <c r="A1187" s="87">
        <v>1182</v>
      </c>
      <c r="B1187" s="90" t="s">
        <v>5325</v>
      </c>
      <c r="C1187" s="88">
        <v>45595</v>
      </c>
      <c r="D1187" s="89">
        <v>0.375</v>
      </c>
      <c r="E1187" s="87" t="s">
        <v>58</v>
      </c>
      <c r="F1187" s="87" t="s">
        <v>116</v>
      </c>
      <c r="G1187" s="87" t="s">
        <v>62</v>
      </c>
      <c r="H1187" s="90" t="s">
        <v>5326</v>
      </c>
      <c r="I1187" s="90" t="s">
        <v>118</v>
      </c>
      <c r="J1187" s="87" t="s">
        <v>70</v>
      </c>
      <c r="K1187" s="87" t="s">
        <v>104</v>
      </c>
      <c r="L1187" s="90" t="s">
        <v>5327</v>
      </c>
      <c r="M1187" s="91" t="s">
        <v>1695</v>
      </c>
      <c r="N1187" s="90" t="s">
        <v>5328</v>
      </c>
      <c r="O1187" s="90" t="str">
        <f t="shared" si="287"/>
        <v>Teusaquillo</v>
      </c>
      <c r="P1187" s="87" t="s">
        <v>665</v>
      </c>
      <c r="Q1187" s="87"/>
      <c r="R1187" s="87"/>
      <c r="S1187" s="87"/>
      <c r="T1187" s="87"/>
      <c r="U1187" s="87"/>
      <c r="V1187" s="90" t="str">
        <f t="shared" si="288"/>
        <v>Centro Ampliado</v>
      </c>
      <c r="W1187" s="87" t="s">
        <v>415</v>
      </c>
      <c r="X1187" s="87"/>
      <c r="Y1187" s="87"/>
      <c r="Z1187" s="87"/>
      <c r="AA1187" s="87"/>
      <c r="AB1187" s="87"/>
      <c r="AC1187" s="90" t="str">
        <f t="shared" si="289"/>
        <v>Teusaquillo</v>
      </c>
      <c r="AD1187" s="87" t="s">
        <v>665</v>
      </c>
      <c r="AE1187" s="87"/>
      <c r="AF1187" s="87"/>
      <c r="AG1187" s="87"/>
      <c r="AH1187" s="87"/>
      <c r="AI1187" s="87"/>
      <c r="AJ1187" s="87"/>
      <c r="AK1187" s="87"/>
      <c r="AL1187" s="87"/>
      <c r="AM1187" s="87"/>
      <c r="AN1187" s="90" t="s">
        <v>2471</v>
      </c>
      <c r="AO1187" s="90" t="s">
        <v>5329</v>
      </c>
      <c r="AP1187" s="82"/>
      <c r="AQ1187" s="87" t="s">
        <v>59</v>
      </c>
      <c r="AR1187" s="87" t="s">
        <v>80</v>
      </c>
      <c r="AS1187" s="82"/>
      <c r="AT1187" s="87">
        <v>4</v>
      </c>
      <c r="AU1187" s="87">
        <v>5</v>
      </c>
      <c r="AV1187" s="87">
        <f t="shared" si="292"/>
        <v>9</v>
      </c>
      <c r="AW1187" s="87" t="str">
        <f t="shared" si="291"/>
        <v>Ninguna</v>
      </c>
      <c r="AX1187" s="87" t="s">
        <v>75</v>
      </c>
      <c r="AY1187" s="87"/>
      <c r="AZ1187" s="87"/>
      <c r="BA1187" s="91" t="s">
        <v>5330</v>
      </c>
      <c r="BB1187" s="84"/>
      <c r="BC1187" s="85"/>
      <c r="BD1187" s="85"/>
    </row>
    <row r="1188" spans="1:56" s="86" customFormat="1" ht="43.5" customHeight="1">
      <c r="A1188" s="78">
        <v>1183</v>
      </c>
      <c r="B1188" s="90" t="s">
        <v>5331</v>
      </c>
      <c r="C1188" s="88">
        <v>45595</v>
      </c>
      <c r="D1188" s="89">
        <v>0.58333333333333337</v>
      </c>
      <c r="E1188" s="87" t="s">
        <v>58</v>
      </c>
      <c r="F1188" s="87" t="s">
        <v>1142</v>
      </c>
      <c r="G1188" s="87" t="s">
        <v>62</v>
      </c>
      <c r="H1188" s="90" t="s">
        <v>5332</v>
      </c>
      <c r="I1188" s="90" t="s">
        <v>118</v>
      </c>
      <c r="J1188" s="87" t="s">
        <v>70</v>
      </c>
      <c r="K1188" s="87" t="s">
        <v>71</v>
      </c>
      <c r="L1188" s="90" t="s">
        <v>5333</v>
      </c>
      <c r="M1188" s="91" t="s">
        <v>5334</v>
      </c>
      <c r="N1188" s="90" t="s">
        <v>5335</v>
      </c>
      <c r="O1188" s="90" t="str">
        <f t="shared" si="133"/>
        <v>Distrital</v>
      </c>
      <c r="P1188" s="87" t="s">
        <v>73</v>
      </c>
      <c r="Q1188" s="87"/>
      <c r="R1188" s="87"/>
      <c r="S1188" s="87"/>
      <c r="T1188" s="87"/>
      <c r="U1188" s="87"/>
      <c r="V1188" s="90" t="str">
        <f t="shared" si="137"/>
        <v>Distrital</v>
      </c>
      <c r="W1188" s="87" t="s">
        <v>73</v>
      </c>
      <c r="X1188" s="87"/>
      <c r="Y1188" s="87"/>
      <c r="Z1188" s="87"/>
      <c r="AA1188" s="87"/>
      <c r="AB1188" s="87"/>
      <c r="AC1188" s="90" t="str">
        <f t="shared" si="138"/>
        <v>Distrital</v>
      </c>
      <c r="AD1188" s="87" t="s">
        <v>73</v>
      </c>
      <c r="AE1188" s="87"/>
      <c r="AF1188" s="87"/>
      <c r="AG1188" s="87"/>
      <c r="AH1188" s="87"/>
      <c r="AI1188" s="87"/>
      <c r="AJ1188" s="87"/>
      <c r="AK1188" s="87"/>
      <c r="AL1188" s="87"/>
      <c r="AM1188" s="87"/>
      <c r="AN1188" s="90" t="s">
        <v>80</v>
      </c>
      <c r="AO1188" s="90" t="s">
        <v>5336</v>
      </c>
      <c r="AP1188" s="82"/>
      <c r="AQ1188" s="87" t="s">
        <v>59</v>
      </c>
      <c r="AR1188" s="87" t="s">
        <v>80</v>
      </c>
      <c r="AS1188" s="82"/>
      <c r="AT1188" s="87">
        <v>7</v>
      </c>
      <c r="AU1188" s="87">
        <v>3</v>
      </c>
      <c r="AV1188" s="87">
        <f t="shared" ref="AV1188" si="293">AT1188+AU1188</f>
        <v>10</v>
      </c>
      <c r="AW1188" s="87" t="str">
        <f t="shared" ref="AW1188" si="294">_xlfn.TEXTJOIN(", ",TRUE,$AX1188:$AZ1188)</f>
        <v>Ninguna</v>
      </c>
      <c r="AX1188" s="87" t="s">
        <v>75</v>
      </c>
      <c r="AY1188" s="87"/>
      <c r="AZ1188" s="87"/>
      <c r="BA1188" s="91" t="s">
        <v>5337</v>
      </c>
      <c r="BB1188" s="84"/>
      <c r="BC1188" s="85"/>
      <c r="BD1188" s="85"/>
    </row>
    <row r="1189" spans="1:56" s="86" customFormat="1" ht="37.5" customHeight="1">
      <c r="A1189" s="87">
        <v>1184</v>
      </c>
      <c r="B1189" s="90" t="s">
        <v>5338</v>
      </c>
      <c r="C1189" s="88">
        <v>45595</v>
      </c>
      <c r="D1189" s="89">
        <v>0.70833333333333337</v>
      </c>
      <c r="E1189" s="87" t="s">
        <v>93</v>
      </c>
      <c r="F1189" s="87" t="s">
        <v>102</v>
      </c>
      <c r="G1189" s="87" t="s">
        <v>95</v>
      </c>
      <c r="H1189" s="90" t="s">
        <v>5339</v>
      </c>
      <c r="I1189" s="90" t="s">
        <v>118</v>
      </c>
      <c r="J1189" s="87" t="s">
        <v>70</v>
      </c>
      <c r="K1189" s="87" t="s">
        <v>129</v>
      </c>
      <c r="L1189" s="90" t="s">
        <v>1009</v>
      </c>
      <c r="M1189" s="91" t="s">
        <v>2635</v>
      </c>
      <c r="N1189" s="90" t="s">
        <v>1351</v>
      </c>
      <c r="O1189" s="90" t="str">
        <f t="shared" ref="O1189:O1225" si="295">_xlfn.TEXTJOIN(", ",TRUE,$P1189:$T1189)</f>
        <v>Distrital</v>
      </c>
      <c r="P1189" s="87" t="s">
        <v>73</v>
      </c>
      <c r="Q1189" s="87"/>
      <c r="R1189" s="87"/>
      <c r="S1189" s="87"/>
      <c r="T1189" s="87"/>
      <c r="U1189" s="87"/>
      <c r="V1189" s="90" t="str">
        <f t="shared" ref="V1189:V1225" si="296">_xlfn.TEXTJOIN(", ",TRUE,$W1189:$AB1189)</f>
        <v>Distrital</v>
      </c>
      <c r="W1189" s="87" t="s">
        <v>73</v>
      </c>
      <c r="X1189" s="87"/>
      <c r="Y1189" s="87"/>
      <c r="Z1189" s="87"/>
      <c r="AA1189" s="87"/>
      <c r="AB1189" s="87"/>
      <c r="AC1189" s="90" t="str">
        <f t="shared" ref="AC1189:AC1225" si="297">_xlfn.TEXTJOIN(", ",TRUE,$AD1189:$AM1189)</f>
        <v>Distrital</v>
      </c>
      <c r="AD1189" s="87" t="s">
        <v>73</v>
      </c>
      <c r="AE1189" s="87"/>
      <c r="AF1189" s="87"/>
      <c r="AG1189" s="87"/>
      <c r="AH1189" s="87"/>
      <c r="AI1189" s="87"/>
      <c r="AJ1189" s="87"/>
      <c r="AK1189" s="87"/>
      <c r="AL1189" s="87"/>
      <c r="AM1189" s="87"/>
      <c r="AN1189" s="90" t="s">
        <v>80</v>
      </c>
      <c r="AO1189" s="102" t="s">
        <v>2667</v>
      </c>
      <c r="AP1189" s="82"/>
      <c r="AQ1189" s="87" t="s">
        <v>59</v>
      </c>
      <c r="AR1189" s="87" t="s">
        <v>80</v>
      </c>
      <c r="AS1189" s="82"/>
      <c r="AT1189" s="87">
        <v>25</v>
      </c>
      <c r="AU1189" s="87">
        <v>2</v>
      </c>
      <c r="AV1189" s="87">
        <f t="shared" ref="AV1189:AV1217" si="298">AT1189+AU1189</f>
        <v>27</v>
      </c>
      <c r="AW1189" s="87" t="str">
        <f t="shared" ref="AW1189:AW1224" si="299">_xlfn.TEXTJOIN(", ",TRUE,$AX1189:$AZ1189)</f>
        <v>Ninguna</v>
      </c>
      <c r="AX1189" s="87" t="s">
        <v>75</v>
      </c>
      <c r="AY1189" s="87"/>
      <c r="AZ1189" s="87"/>
      <c r="BA1189" s="91" t="s">
        <v>5340</v>
      </c>
      <c r="BB1189" s="84"/>
      <c r="BC1189" s="85"/>
      <c r="BD1189" s="85"/>
    </row>
    <row r="1190" spans="1:56" s="86" customFormat="1" ht="44.25" customHeight="1">
      <c r="A1190" s="78">
        <v>1185</v>
      </c>
      <c r="B1190" s="90" t="s">
        <v>5341</v>
      </c>
      <c r="C1190" s="88">
        <v>45596</v>
      </c>
      <c r="D1190" s="89">
        <v>0.35416666666666669</v>
      </c>
      <c r="E1190" s="87" t="s">
        <v>58</v>
      </c>
      <c r="F1190" s="87" t="s">
        <v>1769</v>
      </c>
      <c r="G1190" s="87" t="s">
        <v>95</v>
      </c>
      <c r="H1190" s="90" t="s">
        <v>5342</v>
      </c>
      <c r="I1190" s="90" t="s">
        <v>118</v>
      </c>
      <c r="J1190" s="87" t="s">
        <v>70</v>
      </c>
      <c r="K1190" s="87" t="s">
        <v>71</v>
      </c>
      <c r="L1190" s="90" t="s">
        <v>5343</v>
      </c>
      <c r="M1190" s="91" t="s">
        <v>72</v>
      </c>
      <c r="N1190" s="90" t="s">
        <v>5344</v>
      </c>
      <c r="O1190" s="90" t="str">
        <f t="shared" si="295"/>
        <v>Distrital</v>
      </c>
      <c r="P1190" s="87" t="s">
        <v>73</v>
      </c>
      <c r="Q1190" s="87"/>
      <c r="R1190" s="87"/>
      <c r="S1190" s="87"/>
      <c r="T1190" s="87"/>
      <c r="U1190" s="87"/>
      <c r="V1190" s="90" t="str">
        <f t="shared" si="296"/>
        <v>Distrital</v>
      </c>
      <c r="W1190" s="87" t="s">
        <v>73</v>
      </c>
      <c r="X1190" s="87"/>
      <c r="Y1190" s="87"/>
      <c r="Z1190" s="87"/>
      <c r="AA1190" s="87"/>
      <c r="AB1190" s="87"/>
      <c r="AC1190" s="90" t="str">
        <f t="shared" si="297"/>
        <v>Distrital</v>
      </c>
      <c r="AD1190" s="87" t="s">
        <v>73</v>
      </c>
      <c r="AE1190" s="87"/>
      <c r="AF1190" s="87"/>
      <c r="AG1190" s="87"/>
      <c r="AH1190" s="87"/>
      <c r="AI1190" s="87"/>
      <c r="AJ1190" s="87"/>
      <c r="AK1190" s="87"/>
      <c r="AL1190" s="87"/>
      <c r="AM1190" s="87"/>
      <c r="AN1190" s="90" t="s">
        <v>80</v>
      </c>
      <c r="AO1190" s="102" t="s">
        <v>2667</v>
      </c>
      <c r="AP1190" s="82"/>
      <c r="AQ1190" s="87" t="s">
        <v>59</v>
      </c>
      <c r="AR1190" s="87" t="s">
        <v>80</v>
      </c>
      <c r="AS1190" s="82"/>
      <c r="AT1190" s="87">
        <v>2</v>
      </c>
      <c r="AU1190" s="87">
        <v>3</v>
      </c>
      <c r="AV1190" s="87">
        <f t="shared" si="298"/>
        <v>5</v>
      </c>
      <c r="AW1190" s="87" t="str">
        <f t="shared" si="299"/>
        <v>Ninguna</v>
      </c>
      <c r="AX1190" s="87" t="s">
        <v>75</v>
      </c>
      <c r="AY1190" s="87"/>
      <c r="AZ1190" s="87"/>
      <c r="BA1190" s="91" t="s">
        <v>5345</v>
      </c>
      <c r="BB1190" s="84"/>
      <c r="BC1190" s="85"/>
      <c r="BD1190" s="85"/>
    </row>
    <row r="1191" spans="1:56" s="86" customFormat="1" ht="48" customHeight="1">
      <c r="A1191" s="87">
        <v>1186</v>
      </c>
      <c r="B1191" s="90" t="s">
        <v>5346</v>
      </c>
      <c r="C1191" s="88">
        <v>45597</v>
      </c>
      <c r="D1191" s="89">
        <v>0.3611111111111111</v>
      </c>
      <c r="E1191" s="87" t="s">
        <v>58</v>
      </c>
      <c r="F1191" s="87" t="s">
        <v>135</v>
      </c>
      <c r="G1191" s="87" t="s">
        <v>62</v>
      </c>
      <c r="H1191" s="90" t="s">
        <v>5347</v>
      </c>
      <c r="I1191" s="90" t="s">
        <v>188</v>
      </c>
      <c r="J1191" s="87" t="s">
        <v>70</v>
      </c>
      <c r="K1191" s="87" t="s">
        <v>71</v>
      </c>
      <c r="L1191" s="90" t="s">
        <v>80</v>
      </c>
      <c r="M1191" s="90" t="s">
        <v>80</v>
      </c>
      <c r="N1191" s="90" t="s">
        <v>80</v>
      </c>
      <c r="O1191" s="90" t="str">
        <f t="shared" si="295"/>
        <v>Distrital</v>
      </c>
      <c r="P1191" s="87" t="s">
        <v>73</v>
      </c>
      <c r="Q1191" s="87"/>
      <c r="R1191" s="87"/>
      <c r="S1191" s="87"/>
      <c r="T1191" s="87"/>
      <c r="U1191" s="87"/>
      <c r="V1191" s="90" t="str">
        <f t="shared" si="296"/>
        <v>Distrital</v>
      </c>
      <c r="W1191" s="87" t="s">
        <v>73</v>
      </c>
      <c r="X1191" s="87"/>
      <c r="Y1191" s="87"/>
      <c r="Z1191" s="87"/>
      <c r="AA1191" s="87"/>
      <c r="AB1191" s="87"/>
      <c r="AC1191" s="90" t="str">
        <f t="shared" si="297"/>
        <v>Distrital</v>
      </c>
      <c r="AD1191" s="87" t="s">
        <v>73</v>
      </c>
      <c r="AE1191" s="87"/>
      <c r="AF1191" s="87"/>
      <c r="AG1191" s="87"/>
      <c r="AH1191" s="87"/>
      <c r="AI1191" s="87"/>
      <c r="AJ1191" s="87"/>
      <c r="AK1191" s="87"/>
      <c r="AL1191" s="87"/>
      <c r="AM1191" s="87"/>
      <c r="AN1191" s="90" t="s">
        <v>80</v>
      </c>
      <c r="AO1191" s="90" t="s">
        <v>5353</v>
      </c>
      <c r="AP1191" s="82"/>
      <c r="AQ1191" s="87" t="s">
        <v>59</v>
      </c>
      <c r="AR1191" s="87" t="s">
        <v>80</v>
      </c>
      <c r="AS1191" s="82"/>
      <c r="AT1191" s="87">
        <v>0</v>
      </c>
      <c r="AU1191" s="87">
        <v>39</v>
      </c>
      <c r="AV1191" s="87">
        <f t="shared" si="298"/>
        <v>39</v>
      </c>
      <c r="AW1191" s="87" t="str">
        <f t="shared" si="299"/>
        <v>No Aplica</v>
      </c>
      <c r="AX1191" s="87" t="s">
        <v>78</v>
      </c>
      <c r="AY1191" s="87"/>
      <c r="AZ1191" s="87"/>
      <c r="BA1191" s="91" t="s">
        <v>5354</v>
      </c>
      <c r="BB1191" s="84"/>
      <c r="BC1191" s="85"/>
      <c r="BD1191" s="85"/>
    </row>
    <row r="1192" spans="1:56" s="86" customFormat="1" ht="41.25" customHeight="1">
      <c r="A1192" s="78">
        <v>1187</v>
      </c>
      <c r="B1192" s="90" t="s">
        <v>5346</v>
      </c>
      <c r="C1192" s="88">
        <v>45597</v>
      </c>
      <c r="D1192" s="89">
        <v>0.45833333333333331</v>
      </c>
      <c r="E1192" s="87" t="s">
        <v>58</v>
      </c>
      <c r="F1192" s="87" t="s">
        <v>135</v>
      </c>
      <c r="G1192" s="87" t="s">
        <v>62</v>
      </c>
      <c r="H1192" s="90" t="s">
        <v>5347</v>
      </c>
      <c r="I1192" s="90" t="s">
        <v>188</v>
      </c>
      <c r="J1192" s="87" t="s">
        <v>70</v>
      </c>
      <c r="K1192" s="87" t="s">
        <v>71</v>
      </c>
      <c r="L1192" s="90" t="s">
        <v>80</v>
      </c>
      <c r="M1192" s="90" t="s">
        <v>80</v>
      </c>
      <c r="N1192" s="90" t="s">
        <v>80</v>
      </c>
      <c r="O1192" s="90" t="str">
        <f t="shared" si="295"/>
        <v>Distrital</v>
      </c>
      <c r="P1192" s="87" t="s">
        <v>73</v>
      </c>
      <c r="Q1192" s="87"/>
      <c r="R1192" s="87"/>
      <c r="S1192" s="87"/>
      <c r="T1192" s="87"/>
      <c r="U1192" s="87"/>
      <c r="V1192" s="90" t="str">
        <f t="shared" si="296"/>
        <v>Distrital</v>
      </c>
      <c r="W1192" s="87" t="s">
        <v>73</v>
      </c>
      <c r="X1192" s="87"/>
      <c r="Y1192" s="87"/>
      <c r="Z1192" s="87"/>
      <c r="AA1192" s="87"/>
      <c r="AB1192" s="87"/>
      <c r="AC1192" s="90" t="str">
        <f t="shared" si="297"/>
        <v>Distrital</v>
      </c>
      <c r="AD1192" s="87" t="s">
        <v>73</v>
      </c>
      <c r="AE1192" s="87"/>
      <c r="AF1192" s="87"/>
      <c r="AG1192" s="87"/>
      <c r="AH1192" s="87"/>
      <c r="AI1192" s="87"/>
      <c r="AJ1192" s="87"/>
      <c r="AK1192" s="87"/>
      <c r="AL1192" s="87"/>
      <c r="AM1192" s="87"/>
      <c r="AN1192" s="90" t="s">
        <v>80</v>
      </c>
      <c r="AO1192" s="90" t="s">
        <v>129</v>
      </c>
      <c r="AP1192" s="82"/>
      <c r="AQ1192" s="87" t="s">
        <v>59</v>
      </c>
      <c r="AR1192" s="87" t="s">
        <v>80</v>
      </c>
      <c r="AS1192" s="82"/>
      <c r="AT1192" s="87">
        <v>0</v>
      </c>
      <c r="AU1192" s="87">
        <v>38</v>
      </c>
      <c r="AV1192" s="87">
        <f t="shared" si="298"/>
        <v>38</v>
      </c>
      <c r="AW1192" s="87" t="str">
        <f t="shared" si="299"/>
        <v>No Aplica</v>
      </c>
      <c r="AX1192" s="87" t="s">
        <v>78</v>
      </c>
      <c r="AY1192" s="87"/>
      <c r="AZ1192" s="87"/>
      <c r="BA1192" s="91" t="s">
        <v>5355</v>
      </c>
      <c r="BB1192" s="84"/>
      <c r="BC1192" s="85"/>
      <c r="BD1192" s="85"/>
    </row>
    <row r="1193" spans="1:56" s="86" customFormat="1" ht="37.5" customHeight="1">
      <c r="A1193" s="87">
        <v>1188</v>
      </c>
      <c r="B1193" s="90" t="s">
        <v>5356</v>
      </c>
      <c r="C1193" s="88">
        <v>45599</v>
      </c>
      <c r="D1193" s="89">
        <v>0.41666666666666669</v>
      </c>
      <c r="E1193" s="87" t="s">
        <v>58</v>
      </c>
      <c r="F1193" s="87" t="s">
        <v>1184</v>
      </c>
      <c r="G1193" s="87" t="s">
        <v>62</v>
      </c>
      <c r="H1193" s="90" t="s">
        <v>5357</v>
      </c>
      <c r="I1193" s="90" t="s">
        <v>118</v>
      </c>
      <c r="J1193" s="87" t="s">
        <v>119</v>
      </c>
      <c r="K1193" s="87" t="s">
        <v>120</v>
      </c>
      <c r="L1193" s="90" t="s">
        <v>5358</v>
      </c>
      <c r="M1193" s="91" t="s">
        <v>5359</v>
      </c>
      <c r="N1193" s="90" t="s">
        <v>3042</v>
      </c>
      <c r="O1193" s="90" t="str">
        <f t="shared" si="295"/>
        <v>Sumapaz</v>
      </c>
      <c r="P1193" s="87" t="s">
        <v>327</v>
      </c>
      <c r="Q1193" s="87"/>
      <c r="R1193" s="87"/>
      <c r="S1193" s="87"/>
      <c r="T1193" s="87"/>
      <c r="U1193" s="87"/>
      <c r="V1193" s="90" t="str">
        <f t="shared" si="296"/>
        <v>Ruralidad</v>
      </c>
      <c r="W1193" s="87" t="s">
        <v>109</v>
      </c>
      <c r="X1193" s="87"/>
      <c r="Y1193" s="87"/>
      <c r="Z1193" s="87"/>
      <c r="AA1193" s="87"/>
      <c r="AB1193" s="87"/>
      <c r="AC1193" s="90" t="str">
        <f t="shared" si="297"/>
        <v>Sumapaz</v>
      </c>
      <c r="AD1193" s="87" t="s">
        <v>327</v>
      </c>
      <c r="AE1193" s="87"/>
      <c r="AF1193" s="87"/>
      <c r="AG1193" s="87"/>
      <c r="AH1193" s="87"/>
      <c r="AI1193" s="87"/>
      <c r="AJ1193" s="87"/>
      <c r="AK1193" s="87"/>
      <c r="AL1193" s="87"/>
      <c r="AM1193" s="87"/>
      <c r="AN1193" s="90" t="s">
        <v>327</v>
      </c>
      <c r="AO1193" s="90" t="s">
        <v>5360</v>
      </c>
      <c r="AP1193" s="82"/>
      <c r="AQ1193" s="87" t="s">
        <v>59</v>
      </c>
      <c r="AR1193" s="87" t="s">
        <v>80</v>
      </c>
      <c r="AS1193" s="82"/>
      <c r="AT1193" s="87">
        <v>28</v>
      </c>
      <c r="AU1193" s="87">
        <v>2</v>
      </c>
      <c r="AV1193" s="87">
        <f t="shared" si="298"/>
        <v>30</v>
      </c>
      <c r="AW1193" s="87" t="str">
        <f t="shared" si="299"/>
        <v>Horarios Acordes</v>
      </c>
      <c r="AX1193" s="87" t="s">
        <v>213</v>
      </c>
      <c r="AY1193" s="87"/>
      <c r="AZ1193" s="87"/>
      <c r="BA1193" s="91" t="s">
        <v>5361</v>
      </c>
      <c r="BB1193" s="84"/>
      <c r="BC1193" s="85"/>
      <c r="BD1193" s="85"/>
    </row>
    <row r="1194" spans="1:56" s="86" customFormat="1" ht="43.5" customHeight="1">
      <c r="A1194" s="78">
        <v>1189</v>
      </c>
      <c r="B1194" s="90" t="s">
        <v>5362</v>
      </c>
      <c r="C1194" s="88">
        <v>45601</v>
      </c>
      <c r="D1194" s="89">
        <v>0.35416666666666669</v>
      </c>
      <c r="E1194" s="87" t="s">
        <v>58</v>
      </c>
      <c r="F1194" s="87" t="s">
        <v>135</v>
      </c>
      <c r="G1194" s="87" t="s">
        <v>62</v>
      </c>
      <c r="H1194" s="90" t="s">
        <v>5363</v>
      </c>
      <c r="I1194" s="90" t="s">
        <v>188</v>
      </c>
      <c r="J1194" s="87" t="s">
        <v>70</v>
      </c>
      <c r="K1194" s="87" t="s">
        <v>71</v>
      </c>
      <c r="L1194" s="90" t="s">
        <v>80</v>
      </c>
      <c r="M1194" s="91" t="s">
        <v>80</v>
      </c>
      <c r="N1194" s="91" t="s">
        <v>80</v>
      </c>
      <c r="O1194" s="90" t="str">
        <f t="shared" si="295"/>
        <v>Distrital</v>
      </c>
      <c r="P1194" s="87" t="s">
        <v>73</v>
      </c>
      <c r="Q1194" s="87"/>
      <c r="R1194" s="87"/>
      <c r="S1194" s="87"/>
      <c r="T1194" s="87"/>
      <c r="U1194" s="87"/>
      <c r="V1194" s="90" t="str">
        <f t="shared" si="296"/>
        <v>Distrital</v>
      </c>
      <c r="W1194" s="87" t="s">
        <v>73</v>
      </c>
      <c r="X1194" s="87"/>
      <c r="Y1194" s="87"/>
      <c r="Z1194" s="87"/>
      <c r="AA1194" s="87"/>
      <c r="AB1194" s="87"/>
      <c r="AC1194" s="90" t="str">
        <f t="shared" si="297"/>
        <v>Distrital</v>
      </c>
      <c r="AD1194" s="87" t="s">
        <v>73</v>
      </c>
      <c r="AE1194" s="87"/>
      <c r="AF1194" s="87"/>
      <c r="AG1194" s="87"/>
      <c r="AH1194" s="87"/>
      <c r="AI1194" s="87"/>
      <c r="AJ1194" s="87"/>
      <c r="AK1194" s="87"/>
      <c r="AL1194" s="87"/>
      <c r="AM1194" s="87"/>
      <c r="AN1194" s="90" t="s">
        <v>80</v>
      </c>
      <c r="AO1194" s="90" t="s">
        <v>5364</v>
      </c>
      <c r="AP1194" s="82"/>
      <c r="AQ1194" s="87" t="s">
        <v>59</v>
      </c>
      <c r="AR1194" s="87" t="s">
        <v>80</v>
      </c>
      <c r="AS1194" s="82"/>
      <c r="AT1194" s="87">
        <v>0</v>
      </c>
      <c r="AU1194" s="87">
        <v>35</v>
      </c>
      <c r="AV1194" s="87">
        <f t="shared" si="298"/>
        <v>35</v>
      </c>
      <c r="AW1194" s="87" t="str">
        <f t="shared" si="299"/>
        <v>No Aplica</v>
      </c>
      <c r="AX1194" s="87" t="s">
        <v>78</v>
      </c>
      <c r="AY1194" s="87"/>
      <c r="AZ1194" s="87"/>
      <c r="BA1194" s="91" t="s">
        <v>5365</v>
      </c>
      <c r="BB1194" s="84"/>
      <c r="BC1194" s="85"/>
      <c r="BD1194" s="85"/>
    </row>
    <row r="1195" spans="1:56" s="86" customFormat="1" ht="46.5" customHeight="1">
      <c r="A1195" s="87">
        <v>1190</v>
      </c>
      <c r="B1195" s="90" t="s">
        <v>5366</v>
      </c>
      <c r="C1195" s="88">
        <v>45601</v>
      </c>
      <c r="D1195" s="89">
        <v>0.5625</v>
      </c>
      <c r="E1195" s="87" t="s">
        <v>58</v>
      </c>
      <c r="F1195" s="87" t="s">
        <v>135</v>
      </c>
      <c r="G1195" s="87" t="s">
        <v>62</v>
      </c>
      <c r="H1195" s="90" t="s">
        <v>5363</v>
      </c>
      <c r="I1195" s="90" t="s">
        <v>188</v>
      </c>
      <c r="J1195" s="87" t="s">
        <v>70</v>
      </c>
      <c r="K1195" s="87" t="s">
        <v>71</v>
      </c>
      <c r="L1195" s="90" t="s">
        <v>80</v>
      </c>
      <c r="M1195" s="91" t="s">
        <v>80</v>
      </c>
      <c r="N1195" s="91" t="s">
        <v>80</v>
      </c>
      <c r="O1195" s="90" t="str">
        <f t="shared" si="295"/>
        <v>Distrital</v>
      </c>
      <c r="P1195" s="87" t="s">
        <v>73</v>
      </c>
      <c r="Q1195" s="87"/>
      <c r="R1195" s="87"/>
      <c r="S1195" s="87"/>
      <c r="T1195" s="87"/>
      <c r="U1195" s="87"/>
      <c r="V1195" s="90" t="str">
        <f t="shared" si="296"/>
        <v>Distrital</v>
      </c>
      <c r="W1195" s="87" t="s">
        <v>73</v>
      </c>
      <c r="X1195" s="87"/>
      <c r="Y1195" s="87"/>
      <c r="Z1195" s="87"/>
      <c r="AA1195" s="87"/>
      <c r="AB1195" s="87"/>
      <c r="AC1195" s="90" t="str">
        <f t="shared" si="297"/>
        <v>Distrital</v>
      </c>
      <c r="AD1195" s="87" t="s">
        <v>73</v>
      </c>
      <c r="AE1195" s="87"/>
      <c r="AF1195" s="87"/>
      <c r="AG1195" s="87"/>
      <c r="AH1195" s="87"/>
      <c r="AI1195" s="87"/>
      <c r="AJ1195" s="87"/>
      <c r="AK1195" s="87"/>
      <c r="AL1195" s="87"/>
      <c r="AM1195" s="87"/>
      <c r="AN1195" s="90" t="s">
        <v>80</v>
      </c>
      <c r="AO1195" s="90" t="s">
        <v>5364</v>
      </c>
      <c r="AP1195" s="82"/>
      <c r="AQ1195" s="87" t="s">
        <v>59</v>
      </c>
      <c r="AR1195" s="87" t="s">
        <v>80</v>
      </c>
      <c r="AS1195" s="82"/>
      <c r="AT1195" s="87">
        <v>0</v>
      </c>
      <c r="AU1195" s="87">
        <v>31</v>
      </c>
      <c r="AV1195" s="87">
        <f t="shared" si="298"/>
        <v>31</v>
      </c>
      <c r="AW1195" s="87" t="str">
        <f t="shared" si="299"/>
        <v>No Aplica</v>
      </c>
      <c r="AX1195" s="87" t="s">
        <v>78</v>
      </c>
      <c r="AY1195" s="87"/>
      <c r="AZ1195" s="87"/>
      <c r="BA1195" s="91" t="s">
        <v>5368</v>
      </c>
      <c r="BB1195" s="84"/>
      <c r="BC1195" s="85"/>
      <c r="BD1195" s="85"/>
    </row>
    <row r="1196" spans="1:56" s="86" customFormat="1" ht="43.5" customHeight="1">
      <c r="A1196" s="78">
        <v>1191</v>
      </c>
      <c r="B1196" s="90" t="s">
        <v>5369</v>
      </c>
      <c r="C1196" s="88">
        <v>45601</v>
      </c>
      <c r="D1196" s="89">
        <v>0.625</v>
      </c>
      <c r="E1196" s="87" t="s">
        <v>58</v>
      </c>
      <c r="F1196" s="87" t="s">
        <v>1184</v>
      </c>
      <c r="G1196" s="87" t="s">
        <v>62</v>
      </c>
      <c r="H1196" s="90" t="s">
        <v>5370</v>
      </c>
      <c r="I1196" s="90" t="s">
        <v>128</v>
      </c>
      <c r="J1196" s="87" t="s">
        <v>119</v>
      </c>
      <c r="K1196" s="87" t="s">
        <v>120</v>
      </c>
      <c r="L1196" s="90" t="s">
        <v>5371</v>
      </c>
      <c r="M1196" s="91" t="s">
        <v>5372</v>
      </c>
      <c r="N1196" s="90" t="s">
        <v>5373</v>
      </c>
      <c r="O1196" s="90" t="str">
        <f t="shared" si="295"/>
        <v>Kennedy</v>
      </c>
      <c r="P1196" s="87" t="s">
        <v>473</v>
      </c>
      <c r="Q1196" s="87"/>
      <c r="R1196" s="87"/>
      <c r="S1196" s="87"/>
      <c r="T1196" s="87"/>
      <c r="U1196" s="87"/>
      <c r="V1196" s="90" t="str">
        <f t="shared" si="296"/>
        <v>Suroccidente</v>
      </c>
      <c r="W1196" s="87" t="s">
        <v>474</v>
      </c>
      <c r="X1196" s="87"/>
      <c r="Y1196" s="87"/>
      <c r="Z1196" s="87"/>
      <c r="AA1196" s="87"/>
      <c r="AB1196" s="87"/>
      <c r="AC1196" s="90" t="str">
        <f t="shared" si="297"/>
        <v>Kennedy</v>
      </c>
      <c r="AD1196" s="87" t="s">
        <v>473</v>
      </c>
      <c r="AE1196" s="87"/>
      <c r="AF1196" s="87"/>
      <c r="AG1196" s="87"/>
      <c r="AH1196" s="87"/>
      <c r="AI1196" s="87"/>
      <c r="AJ1196" s="87"/>
      <c r="AK1196" s="87"/>
      <c r="AL1196" s="87"/>
      <c r="AM1196" s="87"/>
      <c r="AN1196" s="90" t="s">
        <v>5374</v>
      </c>
      <c r="AO1196" s="90" t="s">
        <v>5375</v>
      </c>
      <c r="AP1196" s="82"/>
      <c r="AQ1196" s="87" t="s">
        <v>59</v>
      </c>
      <c r="AR1196" s="87" t="s">
        <v>80</v>
      </c>
      <c r="AS1196" s="82"/>
      <c r="AT1196" s="87">
        <v>19</v>
      </c>
      <c r="AU1196" s="87">
        <v>2</v>
      </c>
      <c r="AV1196" s="87">
        <f t="shared" si="298"/>
        <v>21</v>
      </c>
      <c r="AW1196" s="87" t="str">
        <f t="shared" si="299"/>
        <v>Horarios Acordes</v>
      </c>
      <c r="AX1196" s="87" t="s">
        <v>213</v>
      </c>
      <c r="AY1196" s="87"/>
      <c r="AZ1196" s="87"/>
      <c r="BA1196" s="91" t="s">
        <v>5376</v>
      </c>
      <c r="BB1196" s="84"/>
      <c r="BC1196" s="85"/>
      <c r="BD1196" s="85"/>
    </row>
    <row r="1197" spans="1:56" s="86" customFormat="1" ht="33.75" customHeight="1">
      <c r="A1197" s="87">
        <v>1192</v>
      </c>
      <c r="B1197" s="90" t="s">
        <v>5377</v>
      </c>
      <c r="C1197" s="88">
        <v>45601</v>
      </c>
      <c r="D1197" s="89">
        <v>0.70833333333333337</v>
      </c>
      <c r="E1197" s="87" t="s">
        <v>93</v>
      </c>
      <c r="F1197" s="87" t="s">
        <v>102</v>
      </c>
      <c r="G1197" s="87" t="s">
        <v>95</v>
      </c>
      <c r="H1197" s="90" t="s">
        <v>5378</v>
      </c>
      <c r="I1197" s="90" t="s">
        <v>118</v>
      </c>
      <c r="J1197" s="87" t="s">
        <v>70</v>
      </c>
      <c r="K1197" s="87" t="s">
        <v>129</v>
      </c>
      <c r="L1197" s="90" t="s">
        <v>5379</v>
      </c>
      <c r="M1197" s="91" t="s">
        <v>5380</v>
      </c>
      <c r="N1197" s="90" t="s">
        <v>5381</v>
      </c>
      <c r="O1197" s="90" t="str">
        <f t="shared" si="295"/>
        <v>Distrital</v>
      </c>
      <c r="P1197" s="87" t="s">
        <v>73</v>
      </c>
      <c r="Q1197" s="87"/>
      <c r="R1197" s="87"/>
      <c r="S1197" s="87"/>
      <c r="T1197" s="87"/>
      <c r="U1197" s="87"/>
      <c r="V1197" s="90" t="str">
        <f t="shared" si="296"/>
        <v>Distrital</v>
      </c>
      <c r="W1197" s="87" t="s">
        <v>73</v>
      </c>
      <c r="X1197" s="87"/>
      <c r="Y1197" s="87"/>
      <c r="Z1197" s="87"/>
      <c r="AA1197" s="87"/>
      <c r="AB1197" s="87"/>
      <c r="AC1197" s="90" t="str">
        <f t="shared" si="297"/>
        <v>Distrital</v>
      </c>
      <c r="AD1197" s="87" t="s">
        <v>73</v>
      </c>
      <c r="AE1197" s="87"/>
      <c r="AF1197" s="87"/>
      <c r="AG1197" s="87"/>
      <c r="AH1197" s="87"/>
      <c r="AI1197" s="87"/>
      <c r="AJ1197" s="87"/>
      <c r="AK1197" s="87"/>
      <c r="AL1197" s="87"/>
      <c r="AM1197" s="87"/>
      <c r="AN1197" s="90" t="s">
        <v>80</v>
      </c>
      <c r="AO1197" s="102" t="s">
        <v>2667</v>
      </c>
      <c r="AP1197" s="82"/>
      <c r="AQ1197" s="87" t="s">
        <v>59</v>
      </c>
      <c r="AR1197" s="87" t="s">
        <v>80</v>
      </c>
      <c r="AS1197" s="82"/>
      <c r="AT1197" s="87">
        <v>10</v>
      </c>
      <c r="AU1197" s="87">
        <v>1</v>
      </c>
      <c r="AV1197" s="87">
        <f t="shared" si="298"/>
        <v>11</v>
      </c>
      <c r="AW1197" s="87" t="str">
        <f t="shared" si="299"/>
        <v>No Aplica</v>
      </c>
      <c r="AX1197" s="87" t="s">
        <v>78</v>
      </c>
      <c r="AY1197" s="87"/>
      <c r="AZ1197" s="87"/>
      <c r="BA1197" s="91" t="s">
        <v>5382</v>
      </c>
      <c r="BB1197" s="84"/>
      <c r="BC1197" s="85"/>
      <c r="BD1197" s="85"/>
    </row>
    <row r="1198" spans="1:56" s="86" customFormat="1" ht="36.75" customHeight="1">
      <c r="A1198" s="78">
        <v>1193</v>
      </c>
      <c r="B1198" s="90" t="s">
        <v>5383</v>
      </c>
      <c r="C1198" s="88">
        <v>45601</v>
      </c>
      <c r="D1198" s="89">
        <v>0.75</v>
      </c>
      <c r="E1198" s="87" t="s">
        <v>93</v>
      </c>
      <c r="F1198" s="87" t="s">
        <v>102</v>
      </c>
      <c r="G1198" s="87" t="s">
        <v>95</v>
      </c>
      <c r="H1198" s="90" t="s">
        <v>5384</v>
      </c>
      <c r="I1198" s="90" t="s">
        <v>118</v>
      </c>
      <c r="J1198" s="87" t="s">
        <v>173</v>
      </c>
      <c r="K1198" s="87"/>
      <c r="L1198" s="90" t="s">
        <v>5385</v>
      </c>
      <c r="M1198" s="91" t="s">
        <v>4498</v>
      </c>
      <c r="N1198" s="90" t="s">
        <v>4499</v>
      </c>
      <c r="O1198" s="90" t="str">
        <f t="shared" si="295"/>
        <v>Distrital</v>
      </c>
      <c r="P1198" s="87" t="s">
        <v>73</v>
      </c>
      <c r="Q1198" s="87"/>
      <c r="R1198" s="87"/>
      <c r="S1198" s="87"/>
      <c r="T1198" s="87"/>
      <c r="U1198" s="87"/>
      <c r="V1198" s="90" t="str">
        <f t="shared" si="296"/>
        <v>Distrital</v>
      </c>
      <c r="W1198" s="87" t="s">
        <v>73</v>
      </c>
      <c r="X1198" s="87"/>
      <c r="Y1198" s="87"/>
      <c r="Z1198" s="87"/>
      <c r="AA1198" s="87"/>
      <c r="AB1198" s="87"/>
      <c r="AC1198" s="90" t="str">
        <f t="shared" si="297"/>
        <v>Distrital</v>
      </c>
      <c r="AD1198" s="87" t="s">
        <v>73</v>
      </c>
      <c r="AE1198" s="87"/>
      <c r="AF1198" s="87"/>
      <c r="AG1198" s="87"/>
      <c r="AH1198" s="87"/>
      <c r="AI1198" s="87"/>
      <c r="AJ1198" s="87"/>
      <c r="AK1198" s="87"/>
      <c r="AL1198" s="87"/>
      <c r="AM1198" s="87"/>
      <c r="AN1198" s="90" t="s">
        <v>80</v>
      </c>
      <c r="AO1198" s="102" t="s">
        <v>2667</v>
      </c>
      <c r="AP1198" s="82"/>
      <c r="AQ1198" s="87" t="s">
        <v>59</v>
      </c>
      <c r="AR1198" s="87" t="s">
        <v>80</v>
      </c>
      <c r="AS1198" s="82"/>
      <c r="AT1198" s="87">
        <v>10</v>
      </c>
      <c r="AU1198" s="87">
        <v>1</v>
      </c>
      <c r="AV1198" s="87">
        <f t="shared" si="298"/>
        <v>11</v>
      </c>
      <c r="AW1198" s="87" t="str">
        <f t="shared" si="299"/>
        <v>No Aplica</v>
      </c>
      <c r="AX1198" s="87" t="s">
        <v>78</v>
      </c>
      <c r="AY1198" s="87"/>
      <c r="AZ1198" s="87"/>
      <c r="BA1198" s="91" t="s">
        <v>5386</v>
      </c>
      <c r="BB1198" s="84"/>
      <c r="BC1198" s="85"/>
      <c r="BD1198" s="85"/>
    </row>
    <row r="1199" spans="1:56" s="86" customFormat="1" ht="36.75" customHeight="1">
      <c r="A1199" s="87">
        <v>1194</v>
      </c>
      <c r="B1199" s="90" t="s">
        <v>5387</v>
      </c>
      <c r="C1199" s="88">
        <v>45602</v>
      </c>
      <c r="D1199" s="89">
        <v>0.33333333333333331</v>
      </c>
      <c r="E1199" s="87" t="s">
        <v>58</v>
      </c>
      <c r="F1199" s="87" t="s">
        <v>61</v>
      </c>
      <c r="G1199" s="87" t="s">
        <v>62</v>
      </c>
      <c r="H1199" s="90" t="s">
        <v>5388</v>
      </c>
      <c r="I1199" s="90" t="s">
        <v>128</v>
      </c>
      <c r="J1199" s="87" t="s">
        <v>173</v>
      </c>
      <c r="K1199" s="87"/>
      <c r="L1199" s="90" t="s">
        <v>72</v>
      </c>
      <c r="M1199" s="91" t="s">
        <v>72</v>
      </c>
      <c r="N1199" s="90" t="s">
        <v>72</v>
      </c>
      <c r="O1199" s="90" t="str">
        <f t="shared" si="295"/>
        <v>Distrital</v>
      </c>
      <c r="P1199" s="87" t="s">
        <v>73</v>
      </c>
      <c r="Q1199" s="87"/>
      <c r="R1199" s="87"/>
      <c r="S1199" s="87"/>
      <c r="T1199" s="87"/>
      <c r="U1199" s="87"/>
      <c r="V1199" s="90" t="str">
        <f t="shared" si="296"/>
        <v>Distrital</v>
      </c>
      <c r="W1199" s="87" t="s">
        <v>73</v>
      </c>
      <c r="X1199" s="87"/>
      <c r="Y1199" s="87"/>
      <c r="Z1199" s="87"/>
      <c r="AA1199" s="87"/>
      <c r="AB1199" s="87"/>
      <c r="AC1199" s="90" t="str">
        <f t="shared" si="297"/>
        <v>Distrital</v>
      </c>
      <c r="AD1199" s="87" t="s">
        <v>73</v>
      </c>
      <c r="AE1199" s="87"/>
      <c r="AF1199" s="87"/>
      <c r="AG1199" s="87"/>
      <c r="AH1199" s="87"/>
      <c r="AI1199" s="87"/>
      <c r="AJ1199" s="87"/>
      <c r="AK1199" s="87"/>
      <c r="AL1199" s="87"/>
      <c r="AM1199" s="87"/>
      <c r="AN1199" s="90" t="s">
        <v>80</v>
      </c>
      <c r="AO1199" s="90" t="s">
        <v>5389</v>
      </c>
      <c r="AP1199" s="82"/>
      <c r="AQ1199" s="87" t="s">
        <v>59</v>
      </c>
      <c r="AR1199" s="87" t="s">
        <v>80</v>
      </c>
      <c r="AS1199" s="82"/>
      <c r="AT1199" s="87">
        <v>30</v>
      </c>
      <c r="AU1199" s="87">
        <v>6</v>
      </c>
      <c r="AV1199" s="87">
        <f t="shared" si="298"/>
        <v>36</v>
      </c>
      <c r="AW1199" s="87" t="str">
        <f t="shared" si="299"/>
        <v>Lenguaje de señas</v>
      </c>
      <c r="AX1199" s="87" t="s">
        <v>211</v>
      </c>
      <c r="AY1199" s="87"/>
      <c r="AZ1199" s="87"/>
      <c r="BA1199" s="91" t="s">
        <v>5390</v>
      </c>
      <c r="BB1199" s="84"/>
      <c r="BC1199" s="85"/>
      <c r="BD1199" s="85"/>
    </row>
    <row r="1200" spans="1:56" s="86" customFormat="1" ht="36.75" customHeight="1">
      <c r="A1200" s="78">
        <v>1195</v>
      </c>
      <c r="B1200" s="90" t="s">
        <v>5391</v>
      </c>
      <c r="C1200" s="88">
        <v>45602</v>
      </c>
      <c r="D1200" s="89">
        <v>0.41666666666666669</v>
      </c>
      <c r="E1200" s="87" t="s">
        <v>58</v>
      </c>
      <c r="F1200" s="87" t="s">
        <v>1184</v>
      </c>
      <c r="G1200" s="87" t="s">
        <v>95</v>
      </c>
      <c r="H1200" s="90" t="s">
        <v>5392</v>
      </c>
      <c r="I1200" s="90" t="s">
        <v>118</v>
      </c>
      <c r="J1200" s="87" t="s">
        <v>70</v>
      </c>
      <c r="K1200" s="87" t="s">
        <v>71</v>
      </c>
      <c r="L1200" s="90" t="s">
        <v>1317</v>
      </c>
      <c r="M1200" s="91" t="s">
        <v>1317</v>
      </c>
      <c r="N1200" s="90" t="s">
        <v>1317</v>
      </c>
      <c r="O1200" s="90" t="str">
        <f t="shared" si="295"/>
        <v>Kennedy</v>
      </c>
      <c r="P1200" s="87" t="s">
        <v>473</v>
      </c>
      <c r="Q1200" s="87"/>
      <c r="R1200" s="87"/>
      <c r="S1200" s="87"/>
      <c r="T1200" s="87"/>
      <c r="U1200" s="87"/>
      <c r="V1200" s="90" t="str">
        <f t="shared" si="296"/>
        <v>Occidente</v>
      </c>
      <c r="W1200" s="87" t="s">
        <v>124</v>
      </c>
      <c r="X1200" s="87"/>
      <c r="Y1200" s="87"/>
      <c r="Z1200" s="87"/>
      <c r="AA1200" s="87"/>
      <c r="AB1200" s="87"/>
      <c r="AC1200" s="90" t="str">
        <f t="shared" si="297"/>
        <v>Kennedy</v>
      </c>
      <c r="AD1200" s="87" t="s">
        <v>473</v>
      </c>
      <c r="AE1200" s="87"/>
      <c r="AF1200" s="87"/>
      <c r="AG1200" s="87"/>
      <c r="AH1200" s="87"/>
      <c r="AI1200" s="87"/>
      <c r="AJ1200" s="87"/>
      <c r="AK1200" s="87"/>
      <c r="AL1200" s="87"/>
      <c r="AM1200" s="87"/>
      <c r="AN1200" s="90" t="s">
        <v>473</v>
      </c>
      <c r="AO1200" s="102" t="s">
        <v>2667</v>
      </c>
      <c r="AP1200" s="82"/>
      <c r="AQ1200" s="87" t="s">
        <v>59</v>
      </c>
      <c r="AR1200" s="87" t="s">
        <v>80</v>
      </c>
      <c r="AS1200" s="82"/>
      <c r="AT1200" s="87">
        <v>2</v>
      </c>
      <c r="AU1200" s="87">
        <v>1</v>
      </c>
      <c r="AV1200" s="87">
        <f t="shared" si="298"/>
        <v>3</v>
      </c>
      <c r="AW1200" s="87" t="str">
        <f t="shared" si="299"/>
        <v>Accesibilidad Universal, Horarios Acordes</v>
      </c>
      <c r="AX1200" s="87" t="s">
        <v>246</v>
      </c>
      <c r="AY1200" s="87" t="s">
        <v>213</v>
      </c>
      <c r="AZ1200" s="87"/>
      <c r="BA1200" s="91" t="s">
        <v>5393</v>
      </c>
      <c r="BB1200" s="84"/>
      <c r="BC1200" s="85"/>
      <c r="BD1200" s="85"/>
    </row>
    <row r="1201" spans="1:56" s="86" customFormat="1" ht="38.25" customHeight="1">
      <c r="A1201" s="87">
        <v>1196</v>
      </c>
      <c r="B1201" s="90" t="s">
        <v>5394</v>
      </c>
      <c r="C1201" s="88">
        <v>45602</v>
      </c>
      <c r="D1201" s="89">
        <v>0.60416666666666663</v>
      </c>
      <c r="E1201" s="87" t="s">
        <v>58</v>
      </c>
      <c r="F1201" s="87" t="s">
        <v>94</v>
      </c>
      <c r="G1201" s="87" t="s">
        <v>95</v>
      </c>
      <c r="H1201" s="90" t="s">
        <v>5395</v>
      </c>
      <c r="I1201" s="90" t="s">
        <v>118</v>
      </c>
      <c r="J1201" s="87" t="s">
        <v>70</v>
      </c>
      <c r="K1201" s="87" t="s">
        <v>71</v>
      </c>
      <c r="L1201" s="90" t="s">
        <v>5396</v>
      </c>
      <c r="M1201" s="91" t="s">
        <v>5397</v>
      </c>
      <c r="N1201" s="90" t="s">
        <v>1317</v>
      </c>
      <c r="O1201" s="90" t="str">
        <f t="shared" si="295"/>
        <v>Distrital</v>
      </c>
      <c r="P1201" s="87" t="s">
        <v>73</v>
      </c>
      <c r="Q1201" s="87"/>
      <c r="R1201" s="87"/>
      <c r="S1201" s="87"/>
      <c r="T1201" s="87"/>
      <c r="U1201" s="87"/>
      <c r="V1201" s="90" t="str">
        <f t="shared" si="296"/>
        <v>Distrital</v>
      </c>
      <c r="W1201" s="87" t="s">
        <v>73</v>
      </c>
      <c r="X1201" s="87"/>
      <c r="Y1201" s="87"/>
      <c r="Z1201" s="87"/>
      <c r="AA1201" s="87"/>
      <c r="AB1201" s="87"/>
      <c r="AC1201" s="90" t="str">
        <f t="shared" si="297"/>
        <v>Distrital</v>
      </c>
      <c r="AD1201" s="87" t="s">
        <v>73</v>
      </c>
      <c r="AE1201" s="87"/>
      <c r="AF1201" s="87"/>
      <c r="AG1201" s="87"/>
      <c r="AH1201" s="87"/>
      <c r="AI1201" s="87"/>
      <c r="AJ1201" s="87"/>
      <c r="AK1201" s="87"/>
      <c r="AL1201" s="87"/>
      <c r="AM1201" s="87"/>
      <c r="AN1201" s="90" t="s">
        <v>80</v>
      </c>
      <c r="AO1201" s="102" t="s">
        <v>2667</v>
      </c>
      <c r="AP1201" s="82"/>
      <c r="AQ1201" s="87" t="s">
        <v>59</v>
      </c>
      <c r="AR1201" s="87" t="s">
        <v>80</v>
      </c>
      <c r="AS1201" s="82"/>
      <c r="AT1201" s="87">
        <v>10</v>
      </c>
      <c r="AU1201" s="87">
        <v>1</v>
      </c>
      <c r="AV1201" s="87">
        <f t="shared" si="298"/>
        <v>11</v>
      </c>
      <c r="AW1201" s="87" t="str">
        <f t="shared" si="299"/>
        <v>Horarios Acordes, Accesibilidad Universal</v>
      </c>
      <c r="AX1201" s="87" t="s">
        <v>213</v>
      </c>
      <c r="AY1201" s="87" t="s">
        <v>246</v>
      </c>
      <c r="AZ1201" s="87"/>
      <c r="BA1201" s="91" t="s">
        <v>5398</v>
      </c>
      <c r="BB1201" s="84"/>
      <c r="BC1201" s="85"/>
      <c r="BD1201" s="85"/>
    </row>
    <row r="1202" spans="1:56" s="86" customFormat="1" ht="42.75" customHeight="1">
      <c r="A1202" s="78">
        <v>1197</v>
      </c>
      <c r="B1202" s="90" t="s">
        <v>5399</v>
      </c>
      <c r="C1202" s="88">
        <v>45602</v>
      </c>
      <c r="D1202" s="89">
        <v>0.625</v>
      </c>
      <c r="E1202" s="87" t="s">
        <v>58</v>
      </c>
      <c r="F1202" s="87" t="s">
        <v>1184</v>
      </c>
      <c r="G1202" s="87" t="s">
        <v>62</v>
      </c>
      <c r="H1202" s="90" t="s">
        <v>5400</v>
      </c>
      <c r="I1202" s="90" t="s">
        <v>128</v>
      </c>
      <c r="J1202" s="87" t="s">
        <v>119</v>
      </c>
      <c r="K1202" s="87" t="s">
        <v>120</v>
      </c>
      <c r="L1202" s="90" t="s">
        <v>5401</v>
      </c>
      <c r="M1202" s="91" t="s">
        <v>5402</v>
      </c>
      <c r="N1202" s="90" t="s">
        <v>5403</v>
      </c>
      <c r="O1202" s="90" t="str">
        <f t="shared" si="295"/>
        <v>Chapinero</v>
      </c>
      <c r="P1202" s="87" t="s">
        <v>221</v>
      </c>
      <c r="Q1202" s="87"/>
      <c r="R1202" s="87"/>
      <c r="S1202" s="87"/>
      <c r="T1202" s="87"/>
      <c r="U1202" s="87"/>
      <c r="V1202" s="90" t="str">
        <f t="shared" si="296"/>
        <v>Centro Ampliado</v>
      </c>
      <c r="W1202" s="87" t="s">
        <v>415</v>
      </c>
      <c r="X1202" s="87"/>
      <c r="Y1202" s="87"/>
      <c r="Z1202" s="87"/>
      <c r="AA1202" s="87"/>
      <c r="AB1202" s="87"/>
      <c r="AC1202" s="90" t="str">
        <f t="shared" si="297"/>
        <v>Centro Histórico</v>
      </c>
      <c r="AD1202" s="87" t="s">
        <v>488</v>
      </c>
      <c r="AE1202" s="87"/>
      <c r="AF1202" s="87"/>
      <c r="AG1202" s="87"/>
      <c r="AH1202" s="87"/>
      <c r="AI1202" s="87"/>
      <c r="AJ1202" s="87"/>
      <c r="AK1202" s="87"/>
      <c r="AL1202" s="87"/>
      <c r="AM1202" s="87"/>
      <c r="AN1202" s="90" t="s">
        <v>5404</v>
      </c>
      <c r="AO1202" s="90" t="s">
        <v>5405</v>
      </c>
      <c r="AP1202" s="82"/>
      <c r="AQ1202" s="87" t="s">
        <v>59</v>
      </c>
      <c r="AR1202" s="87" t="s">
        <v>80</v>
      </c>
      <c r="AS1202" s="82"/>
      <c r="AT1202" s="87">
        <v>5</v>
      </c>
      <c r="AU1202" s="87">
        <v>2</v>
      </c>
      <c r="AV1202" s="87">
        <f t="shared" si="298"/>
        <v>7</v>
      </c>
      <c r="AW1202" s="87" t="str">
        <f t="shared" si="299"/>
        <v>Ninguna</v>
      </c>
      <c r="AX1202" s="87" t="s">
        <v>75</v>
      </c>
      <c r="AY1202" s="87"/>
      <c r="AZ1202" s="87"/>
      <c r="BA1202" s="91" t="s">
        <v>5400</v>
      </c>
      <c r="BB1202" s="84"/>
      <c r="BC1202" s="85"/>
      <c r="BD1202" s="85"/>
    </row>
    <row r="1203" spans="1:56" s="86" customFormat="1" ht="39" customHeight="1">
      <c r="A1203" s="87">
        <v>1198</v>
      </c>
      <c r="B1203" s="90" t="s">
        <v>5406</v>
      </c>
      <c r="C1203" s="88">
        <v>45602</v>
      </c>
      <c r="D1203" s="89">
        <v>0.625</v>
      </c>
      <c r="E1203" s="87" t="s">
        <v>58</v>
      </c>
      <c r="F1203" s="87" t="s">
        <v>1437</v>
      </c>
      <c r="G1203" s="87" t="s">
        <v>62</v>
      </c>
      <c r="H1203" s="90" t="s">
        <v>5407</v>
      </c>
      <c r="I1203" s="90" t="s">
        <v>64</v>
      </c>
      <c r="J1203" s="87" t="s">
        <v>173</v>
      </c>
      <c r="K1203" s="87"/>
      <c r="L1203" s="90" t="s">
        <v>5408</v>
      </c>
      <c r="M1203" s="91" t="s">
        <v>5409</v>
      </c>
      <c r="N1203" s="90" t="s">
        <v>5410</v>
      </c>
      <c r="O1203" s="90" t="str">
        <f t="shared" si="295"/>
        <v>Distrital</v>
      </c>
      <c r="P1203" s="87" t="s">
        <v>73</v>
      </c>
      <c r="Q1203" s="87"/>
      <c r="R1203" s="87"/>
      <c r="S1203" s="87"/>
      <c r="T1203" s="87"/>
      <c r="U1203" s="87"/>
      <c r="V1203" s="90" t="str">
        <f t="shared" si="296"/>
        <v>Distrital</v>
      </c>
      <c r="W1203" s="87" t="s">
        <v>73</v>
      </c>
      <c r="X1203" s="87"/>
      <c r="Y1203" s="87"/>
      <c r="Z1203" s="87"/>
      <c r="AA1203" s="87"/>
      <c r="AB1203" s="87"/>
      <c r="AC1203" s="90" t="str">
        <f t="shared" si="297"/>
        <v>Distrital</v>
      </c>
      <c r="AD1203" s="87" t="s">
        <v>73</v>
      </c>
      <c r="AE1203" s="87"/>
      <c r="AF1203" s="87"/>
      <c r="AG1203" s="87"/>
      <c r="AH1203" s="87"/>
      <c r="AI1203" s="87"/>
      <c r="AJ1203" s="87"/>
      <c r="AK1203" s="87"/>
      <c r="AL1203" s="87"/>
      <c r="AM1203" s="87"/>
      <c r="AN1203" s="90" t="s">
        <v>80</v>
      </c>
      <c r="AO1203" s="90" t="s">
        <v>5411</v>
      </c>
      <c r="AP1203" s="82"/>
      <c r="AQ1203" s="87" t="s">
        <v>59</v>
      </c>
      <c r="AR1203" s="87" t="s">
        <v>80</v>
      </c>
      <c r="AS1203" s="82"/>
      <c r="AT1203" s="87">
        <v>15</v>
      </c>
      <c r="AU1203" s="87">
        <v>13</v>
      </c>
      <c r="AV1203" s="87">
        <f t="shared" si="298"/>
        <v>28</v>
      </c>
      <c r="AW1203" s="87" t="str">
        <f t="shared" si="299"/>
        <v>Ninguna</v>
      </c>
      <c r="AX1203" s="87" t="s">
        <v>75</v>
      </c>
      <c r="AY1203" s="87"/>
      <c r="AZ1203" s="87"/>
      <c r="BA1203" s="91" t="s">
        <v>5412</v>
      </c>
      <c r="BB1203" s="84"/>
      <c r="BC1203" s="85"/>
      <c r="BD1203" s="85"/>
    </row>
    <row r="1204" spans="1:56" s="86" customFormat="1" ht="33.75" customHeight="1">
      <c r="A1204" s="78">
        <v>1199</v>
      </c>
      <c r="B1204" s="90" t="s">
        <v>5413</v>
      </c>
      <c r="C1204" s="88">
        <v>45603</v>
      </c>
      <c r="D1204" s="89">
        <v>0.33333333333333331</v>
      </c>
      <c r="E1204" s="87" t="s">
        <v>93</v>
      </c>
      <c r="F1204" s="87" t="s">
        <v>321</v>
      </c>
      <c r="G1204" s="87" t="s">
        <v>62</v>
      </c>
      <c r="H1204" s="90" t="s">
        <v>5414</v>
      </c>
      <c r="I1204" s="90" t="s">
        <v>128</v>
      </c>
      <c r="J1204" s="87" t="s">
        <v>70</v>
      </c>
      <c r="K1204" s="87"/>
      <c r="L1204" s="90" t="s">
        <v>72</v>
      </c>
      <c r="M1204" s="90" t="s">
        <v>72</v>
      </c>
      <c r="N1204" s="90" t="s">
        <v>72</v>
      </c>
      <c r="O1204" s="90" t="str">
        <f t="shared" si="295"/>
        <v>Distrital</v>
      </c>
      <c r="P1204" s="87" t="s">
        <v>73</v>
      </c>
      <c r="Q1204" s="87"/>
      <c r="R1204" s="87"/>
      <c r="S1204" s="87"/>
      <c r="T1204" s="87"/>
      <c r="U1204" s="87"/>
      <c r="V1204" s="90" t="str">
        <f t="shared" si="296"/>
        <v>Distrital</v>
      </c>
      <c r="W1204" s="87" t="s">
        <v>73</v>
      </c>
      <c r="X1204" s="87"/>
      <c r="Y1204" s="87"/>
      <c r="Z1204" s="87"/>
      <c r="AA1204" s="87"/>
      <c r="AB1204" s="87"/>
      <c r="AC1204" s="90" t="str">
        <f t="shared" si="297"/>
        <v>Distrital</v>
      </c>
      <c r="AD1204" s="87" t="s">
        <v>73</v>
      </c>
      <c r="AE1204" s="87"/>
      <c r="AF1204" s="87"/>
      <c r="AG1204" s="87"/>
      <c r="AH1204" s="87"/>
      <c r="AI1204" s="87"/>
      <c r="AJ1204" s="87"/>
      <c r="AK1204" s="87"/>
      <c r="AL1204" s="87"/>
      <c r="AM1204" s="87"/>
      <c r="AN1204" s="90" t="s">
        <v>80</v>
      </c>
      <c r="AO1204" s="90" t="s">
        <v>5415</v>
      </c>
      <c r="AP1204" s="82"/>
      <c r="AQ1204" s="87" t="s">
        <v>59</v>
      </c>
      <c r="AR1204" s="87" t="s">
        <v>80</v>
      </c>
      <c r="AS1204" s="82"/>
      <c r="AT1204" s="87">
        <v>0</v>
      </c>
      <c r="AU1204" s="87">
        <v>13</v>
      </c>
      <c r="AV1204" s="87">
        <f t="shared" si="298"/>
        <v>13</v>
      </c>
      <c r="AW1204" s="87" t="str">
        <f t="shared" si="299"/>
        <v>Ninguna</v>
      </c>
      <c r="AX1204" s="87" t="s">
        <v>75</v>
      </c>
      <c r="AY1204" s="87"/>
      <c r="AZ1204" s="87"/>
      <c r="BA1204" s="91" t="s">
        <v>5416</v>
      </c>
      <c r="BB1204" s="84"/>
      <c r="BC1204" s="85"/>
      <c r="BD1204" s="85"/>
    </row>
    <row r="1205" spans="1:56" s="86" customFormat="1" ht="39" customHeight="1">
      <c r="A1205" s="87">
        <v>1200</v>
      </c>
      <c r="B1205" s="90" t="s">
        <v>5417</v>
      </c>
      <c r="C1205" s="88">
        <v>45603</v>
      </c>
      <c r="D1205" s="89">
        <v>0.41666666666666669</v>
      </c>
      <c r="E1205" s="87" t="s">
        <v>58</v>
      </c>
      <c r="F1205" s="87" t="s">
        <v>1184</v>
      </c>
      <c r="G1205" s="87" t="s">
        <v>62</v>
      </c>
      <c r="H1205" s="90" t="s">
        <v>5418</v>
      </c>
      <c r="I1205" s="90" t="s">
        <v>118</v>
      </c>
      <c r="J1205" s="87" t="s">
        <v>119</v>
      </c>
      <c r="K1205" s="87"/>
      <c r="L1205" s="90" t="s">
        <v>5419</v>
      </c>
      <c r="M1205" s="91" t="s">
        <v>5420</v>
      </c>
      <c r="N1205" s="90" t="s">
        <v>1603</v>
      </c>
      <c r="O1205" s="90" t="str">
        <f t="shared" si="295"/>
        <v>La Candelaria</v>
      </c>
      <c r="P1205" s="87" t="s">
        <v>487</v>
      </c>
      <c r="Q1205" s="87"/>
      <c r="R1205" s="87"/>
      <c r="S1205" s="87"/>
      <c r="T1205" s="87"/>
      <c r="U1205" s="87"/>
      <c r="V1205" s="90" t="str">
        <f t="shared" si="296"/>
        <v>Centro Ampliado</v>
      </c>
      <c r="W1205" s="87" t="s">
        <v>415</v>
      </c>
      <c r="X1205" s="87"/>
      <c r="Y1205" s="87"/>
      <c r="Z1205" s="87"/>
      <c r="AA1205" s="87"/>
      <c r="AB1205" s="87"/>
      <c r="AC1205" s="90" t="str">
        <f t="shared" si="297"/>
        <v>Centro Histórico</v>
      </c>
      <c r="AD1205" s="87" t="s">
        <v>488</v>
      </c>
      <c r="AE1205" s="87"/>
      <c r="AF1205" s="87"/>
      <c r="AG1205" s="87"/>
      <c r="AH1205" s="87"/>
      <c r="AI1205" s="87"/>
      <c r="AJ1205" s="87"/>
      <c r="AK1205" s="87"/>
      <c r="AL1205" s="87"/>
      <c r="AM1205" s="87"/>
      <c r="AN1205" s="90" t="s">
        <v>5421</v>
      </c>
      <c r="AO1205" s="90" t="s">
        <v>5422</v>
      </c>
      <c r="AP1205" s="82"/>
      <c r="AQ1205" s="87" t="s">
        <v>59</v>
      </c>
      <c r="AR1205" s="87" t="s">
        <v>80</v>
      </c>
      <c r="AS1205" s="82"/>
      <c r="AT1205" s="87">
        <v>3</v>
      </c>
      <c r="AU1205" s="87">
        <v>2</v>
      </c>
      <c r="AV1205" s="87">
        <f t="shared" si="298"/>
        <v>5</v>
      </c>
      <c r="AW1205" s="87" t="str">
        <f t="shared" si="299"/>
        <v>Ninguna</v>
      </c>
      <c r="AX1205" s="87" t="s">
        <v>75</v>
      </c>
      <c r="AY1205" s="87"/>
      <c r="AZ1205" s="87"/>
      <c r="BA1205" s="91" t="s">
        <v>5418</v>
      </c>
      <c r="BB1205" s="84"/>
      <c r="BC1205" s="85"/>
      <c r="BD1205" s="85"/>
    </row>
    <row r="1206" spans="1:56" s="86" customFormat="1" ht="44.25" customHeight="1">
      <c r="A1206" s="78">
        <v>1201</v>
      </c>
      <c r="B1206" s="90" t="s">
        <v>5423</v>
      </c>
      <c r="C1206" s="88">
        <v>45603</v>
      </c>
      <c r="D1206" s="89">
        <v>0.63541666666666663</v>
      </c>
      <c r="E1206" s="87" t="s">
        <v>58</v>
      </c>
      <c r="F1206" s="87" t="s">
        <v>1142</v>
      </c>
      <c r="G1206" s="87" t="s">
        <v>62</v>
      </c>
      <c r="H1206" s="90" t="s">
        <v>5424</v>
      </c>
      <c r="I1206" s="90" t="s">
        <v>118</v>
      </c>
      <c r="J1206" s="87" t="s">
        <v>173</v>
      </c>
      <c r="K1206" s="87"/>
      <c r="L1206" s="90" t="s">
        <v>5425</v>
      </c>
      <c r="M1206" s="91" t="s">
        <v>5426</v>
      </c>
      <c r="N1206" s="90" t="s">
        <v>5427</v>
      </c>
      <c r="O1206" s="90" t="str">
        <f t="shared" si="295"/>
        <v>Puente Aranda</v>
      </c>
      <c r="P1206" s="87" t="s">
        <v>823</v>
      </c>
      <c r="Q1206" s="87"/>
      <c r="R1206" s="87"/>
      <c r="S1206" s="87"/>
      <c r="T1206" s="87"/>
      <c r="U1206" s="87"/>
      <c r="V1206" s="90" t="str">
        <f t="shared" si="296"/>
        <v>Centro Ampliado</v>
      </c>
      <c r="W1206" s="87" t="s">
        <v>415</v>
      </c>
      <c r="X1206" s="87"/>
      <c r="Y1206" s="87"/>
      <c r="Z1206" s="87"/>
      <c r="AA1206" s="87"/>
      <c r="AB1206" s="87"/>
      <c r="AC1206" s="90" t="str">
        <f t="shared" si="297"/>
        <v>Puente Aranda</v>
      </c>
      <c r="AD1206" s="87" t="s">
        <v>823</v>
      </c>
      <c r="AE1206" s="87"/>
      <c r="AF1206" s="87"/>
      <c r="AG1206" s="87"/>
      <c r="AH1206" s="87"/>
      <c r="AI1206" s="87"/>
      <c r="AJ1206" s="87"/>
      <c r="AK1206" s="87"/>
      <c r="AL1206" s="87"/>
      <c r="AM1206" s="114"/>
      <c r="AN1206" s="141" t="s">
        <v>5428</v>
      </c>
      <c r="AO1206" s="142" t="s">
        <v>5429</v>
      </c>
      <c r="AP1206" s="82"/>
      <c r="AQ1206" s="87" t="s">
        <v>59</v>
      </c>
      <c r="AR1206" s="87" t="s">
        <v>80</v>
      </c>
      <c r="AS1206" s="82"/>
      <c r="AT1206" s="87">
        <v>53</v>
      </c>
      <c r="AU1206" s="87">
        <v>3</v>
      </c>
      <c r="AV1206" s="87">
        <f t="shared" si="298"/>
        <v>56</v>
      </c>
      <c r="AW1206" s="87" t="str">
        <f t="shared" si="299"/>
        <v>Ninguna</v>
      </c>
      <c r="AX1206" s="87" t="s">
        <v>75</v>
      </c>
      <c r="AY1206" s="87"/>
      <c r="AZ1206" s="87"/>
      <c r="BA1206" s="91" t="s">
        <v>5430</v>
      </c>
      <c r="BB1206" s="84"/>
      <c r="BC1206" s="85"/>
      <c r="BD1206" s="85"/>
    </row>
    <row r="1207" spans="1:56" s="86" customFormat="1" ht="44.25" customHeight="1">
      <c r="A1207" s="87">
        <v>1202</v>
      </c>
      <c r="B1207" s="90" t="s">
        <v>5431</v>
      </c>
      <c r="C1207" s="88">
        <v>45603</v>
      </c>
      <c r="D1207" s="89">
        <v>0.70833333333333337</v>
      </c>
      <c r="E1207" s="87" t="s">
        <v>58</v>
      </c>
      <c r="F1207" s="87" t="s">
        <v>1184</v>
      </c>
      <c r="G1207" s="87" t="s">
        <v>95</v>
      </c>
      <c r="H1207" s="90" t="s">
        <v>5432</v>
      </c>
      <c r="I1207" s="90" t="s">
        <v>128</v>
      </c>
      <c r="J1207" s="87" t="s">
        <v>173</v>
      </c>
      <c r="K1207" s="87"/>
      <c r="L1207" s="90" t="s">
        <v>5433</v>
      </c>
      <c r="M1207" s="91" t="s">
        <v>5434</v>
      </c>
      <c r="N1207" s="90" t="s">
        <v>5435</v>
      </c>
      <c r="O1207" s="90" t="str">
        <f t="shared" si="295"/>
        <v>Chapinero</v>
      </c>
      <c r="P1207" s="87" t="s">
        <v>221</v>
      </c>
      <c r="Q1207" s="87"/>
      <c r="R1207" s="87"/>
      <c r="S1207" s="87"/>
      <c r="T1207" s="87"/>
      <c r="U1207" s="87"/>
      <c r="V1207" s="90" t="str">
        <f t="shared" si="296"/>
        <v>Centro Ampliado</v>
      </c>
      <c r="W1207" s="87" t="s">
        <v>415</v>
      </c>
      <c r="X1207" s="87"/>
      <c r="Y1207" s="87"/>
      <c r="Z1207" s="87"/>
      <c r="AA1207" s="87"/>
      <c r="AB1207" s="87"/>
      <c r="AC1207" s="90" t="str">
        <f t="shared" si="297"/>
        <v>Chapinero</v>
      </c>
      <c r="AD1207" s="87" t="s">
        <v>221</v>
      </c>
      <c r="AE1207" s="87"/>
      <c r="AF1207" s="87"/>
      <c r="AG1207" s="87"/>
      <c r="AH1207" s="87"/>
      <c r="AI1207" s="87"/>
      <c r="AJ1207" s="87"/>
      <c r="AK1207" s="87"/>
      <c r="AL1207" s="87"/>
      <c r="AM1207" s="87"/>
      <c r="AN1207" s="90" t="s">
        <v>5436</v>
      </c>
      <c r="AO1207" s="90" t="s">
        <v>5437</v>
      </c>
      <c r="AP1207" s="82"/>
      <c r="AQ1207" s="87" t="s">
        <v>59</v>
      </c>
      <c r="AR1207" s="87" t="s">
        <v>80</v>
      </c>
      <c r="AS1207" s="82"/>
      <c r="AT1207" s="87">
        <v>7</v>
      </c>
      <c r="AU1207" s="87">
        <v>2</v>
      </c>
      <c r="AV1207" s="87">
        <f t="shared" si="298"/>
        <v>9</v>
      </c>
      <c r="AW1207" s="87" t="str">
        <f t="shared" si="299"/>
        <v>Ninguna</v>
      </c>
      <c r="AX1207" s="87" t="s">
        <v>75</v>
      </c>
      <c r="AY1207" s="87"/>
      <c r="AZ1207" s="87"/>
      <c r="BA1207" s="91" t="s">
        <v>5438</v>
      </c>
      <c r="BB1207" s="84"/>
      <c r="BC1207" s="85"/>
      <c r="BD1207" s="85"/>
    </row>
    <row r="1208" spans="1:56" s="86" customFormat="1" ht="44.25" customHeight="1">
      <c r="A1208" s="78">
        <v>1203</v>
      </c>
      <c r="B1208" s="90" t="s">
        <v>5439</v>
      </c>
      <c r="C1208" s="88">
        <v>45603</v>
      </c>
      <c r="D1208" s="89">
        <v>0.70833333333333337</v>
      </c>
      <c r="E1208" s="87" t="s">
        <v>93</v>
      </c>
      <c r="F1208" s="87" t="s">
        <v>102</v>
      </c>
      <c r="G1208" s="87" t="s">
        <v>62</v>
      </c>
      <c r="H1208" s="90" t="s">
        <v>5440</v>
      </c>
      <c r="I1208" s="90" t="s">
        <v>118</v>
      </c>
      <c r="J1208" s="87" t="s">
        <v>173</v>
      </c>
      <c r="K1208" s="87"/>
      <c r="L1208" s="90" t="s">
        <v>3964</v>
      </c>
      <c r="M1208" s="91" t="s">
        <v>3965</v>
      </c>
      <c r="N1208" s="90" t="s">
        <v>3699</v>
      </c>
      <c r="O1208" s="90" t="str">
        <f t="shared" si="295"/>
        <v>Distrital</v>
      </c>
      <c r="P1208" s="87" t="s">
        <v>73</v>
      </c>
      <c r="Q1208" s="87"/>
      <c r="R1208" s="87"/>
      <c r="S1208" s="87"/>
      <c r="T1208" s="87"/>
      <c r="U1208" s="87"/>
      <c r="V1208" s="90" t="str">
        <f t="shared" si="296"/>
        <v>Distrital</v>
      </c>
      <c r="W1208" s="87" t="s">
        <v>73</v>
      </c>
      <c r="X1208" s="87"/>
      <c r="Y1208" s="87"/>
      <c r="Z1208" s="87"/>
      <c r="AA1208" s="87"/>
      <c r="AB1208" s="87"/>
      <c r="AC1208" s="90" t="str">
        <f t="shared" si="297"/>
        <v>Distrital</v>
      </c>
      <c r="AD1208" s="87" t="s">
        <v>73</v>
      </c>
      <c r="AE1208" s="87"/>
      <c r="AF1208" s="87"/>
      <c r="AG1208" s="87"/>
      <c r="AH1208" s="87"/>
      <c r="AI1208" s="87"/>
      <c r="AJ1208" s="87"/>
      <c r="AK1208" s="87"/>
      <c r="AL1208" s="87"/>
      <c r="AM1208" s="87"/>
      <c r="AN1208" s="90" t="s">
        <v>80</v>
      </c>
      <c r="AO1208" s="93" t="s">
        <v>2638</v>
      </c>
      <c r="AP1208" s="82"/>
      <c r="AQ1208" s="87" t="s">
        <v>59</v>
      </c>
      <c r="AR1208" s="87" t="s">
        <v>80</v>
      </c>
      <c r="AS1208" s="82"/>
      <c r="AT1208" s="87">
        <v>57</v>
      </c>
      <c r="AU1208" s="87">
        <v>2</v>
      </c>
      <c r="AV1208" s="87">
        <f t="shared" si="298"/>
        <v>59</v>
      </c>
      <c r="AW1208" s="87" t="str">
        <f t="shared" si="299"/>
        <v>Ninguna</v>
      </c>
      <c r="AX1208" s="87" t="s">
        <v>75</v>
      </c>
      <c r="AY1208" s="87"/>
      <c r="AZ1208" s="87"/>
      <c r="BA1208" s="91" t="s">
        <v>5441</v>
      </c>
      <c r="BB1208" s="84"/>
      <c r="BC1208" s="85"/>
      <c r="BD1208" s="85"/>
    </row>
    <row r="1209" spans="1:56" s="86" customFormat="1" ht="44.25" customHeight="1">
      <c r="A1209" s="87">
        <v>1204</v>
      </c>
      <c r="B1209" s="90" t="s">
        <v>5442</v>
      </c>
      <c r="C1209" s="88">
        <v>45603</v>
      </c>
      <c r="D1209" s="89">
        <v>0.77083333333333337</v>
      </c>
      <c r="E1209" s="87" t="s">
        <v>58</v>
      </c>
      <c r="F1209" s="87" t="s">
        <v>1184</v>
      </c>
      <c r="G1209" s="87" t="s">
        <v>62</v>
      </c>
      <c r="H1209" s="90" t="s">
        <v>5443</v>
      </c>
      <c r="I1209" s="90" t="s">
        <v>128</v>
      </c>
      <c r="J1209" s="87" t="s">
        <v>119</v>
      </c>
      <c r="K1209" s="87" t="s">
        <v>120</v>
      </c>
      <c r="L1209" s="90" t="s">
        <v>5444</v>
      </c>
      <c r="M1209" s="91" t="s">
        <v>3138</v>
      </c>
      <c r="N1209" s="90" t="s">
        <v>5445</v>
      </c>
      <c r="O1209" s="90" t="str">
        <f t="shared" si="295"/>
        <v>Usme</v>
      </c>
      <c r="P1209" s="87" t="s">
        <v>670</v>
      </c>
      <c r="Q1209" s="87"/>
      <c r="R1209" s="87"/>
      <c r="S1209" s="87"/>
      <c r="T1209" s="87"/>
      <c r="U1209" s="87"/>
      <c r="V1209" s="90" t="str">
        <f t="shared" si="296"/>
        <v>Suroriente, Ruralidad</v>
      </c>
      <c r="W1209" s="87" t="s">
        <v>108</v>
      </c>
      <c r="X1209" s="87" t="s">
        <v>109</v>
      </c>
      <c r="Y1209" s="87"/>
      <c r="Z1209" s="87"/>
      <c r="AA1209" s="87"/>
      <c r="AB1209" s="87"/>
      <c r="AC1209" s="90" t="str">
        <f t="shared" si="297"/>
        <v>Cuenca del Tunjuelo</v>
      </c>
      <c r="AD1209" s="87" t="s">
        <v>112</v>
      </c>
      <c r="AE1209" s="87"/>
      <c r="AF1209" s="87"/>
      <c r="AG1209" s="87"/>
      <c r="AH1209" s="87"/>
      <c r="AI1209" s="87"/>
      <c r="AJ1209" s="87"/>
      <c r="AK1209" s="87"/>
      <c r="AL1209" s="87"/>
      <c r="AM1209" s="87"/>
      <c r="AN1209" s="90" t="s">
        <v>5446</v>
      </c>
      <c r="AO1209" s="93" t="s">
        <v>2638</v>
      </c>
      <c r="AP1209" s="82"/>
      <c r="AQ1209" s="87" t="s">
        <v>59</v>
      </c>
      <c r="AR1209" s="87" t="s">
        <v>80</v>
      </c>
      <c r="AS1209" s="82"/>
      <c r="AT1209" s="87">
        <v>12</v>
      </c>
      <c r="AU1209" s="87">
        <v>2</v>
      </c>
      <c r="AV1209" s="87">
        <f t="shared" si="298"/>
        <v>14</v>
      </c>
      <c r="AW1209" s="87" t="str">
        <f t="shared" si="299"/>
        <v>Contenidos adaptados, Horarios Acordes</v>
      </c>
      <c r="AX1209" s="87" t="s">
        <v>212</v>
      </c>
      <c r="AY1209" s="87" t="s">
        <v>213</v>
      </c>
      <c r="AZ1209" s="87"/>
      <c r="BA1209" s="91" t="s">
        <v>5447</v>
      </c>
      <c r="BB1209" s="84"/>
      <c r="BC1209" s="85"/>
      <c r="BD1209" s="85"/>
    </row>
    <row r="1210" spans="1:56" s="86" customFormat="1" ht="44.25" customHeight="1">
      <c r="A1210" s="78">
        <v>1205</v>
      </c>
      <c r="B1210" s="90" t="s">
        <v>5448</v>
      </c>
      <c r="C1210" s="88">
        <v>45604</v>
      </c>
      <c r="D1210" s="89">
        <v>0.33333333333333331</v>
      </c>
      <c r="E1210" s="87" t="s">
        <v>58</v>
      </c>
      <c r="F1210" s="87" t="s">
        <v>1184</v>
      </c>
      <c r="G1210" s="87" t="s">
        <v>62</v>
      </c>
      <c r="H1210" s="90" t="s">
        <v>5449</v>
      </c>
      <c r="I1210" s="90" t="s">
        <v>128</v>
      </c>
      <c r="J1210" s="87" t="s">
        <v>119</v>
      </c>
      <c r="K1210" s="87" t="s">
        <v>120</v>
      </c>
      <c r="L1210" s="90" t="s">
        <v>5450</v>
      </c>
      <c r="M1210" s="91" t="s">
        <v>5451</v>
      </c>
      <c r="N1210" s="90" t="s">
        <v>5452</v>
      </c>
      <c r="O1210" s="90" t="str">
        <f t="shared" si="295"/>
        <v>Usaquén</v>
      </c>
      <c r="P1210" s="87" t="s">
        <v>428</v>
      </c>
      <c r="Q1210" s="87"/>
      <c r="R1210" s="87"/>
      <c r="S1210" s="87"/>
      <c r="T1210" s="87"/>
      <c r="U1210" s="87"/>
      <c r="V1210" s="90" t="str">
        <f t="shared" si="296"/>
        <v>Norte</v>
      </c>
      <c r="W1210" s="87" t="s">
        <v>429</v>
      </c>
      <c r="X1210" s="87"/>
      <c r="Y1210" s="87"/>
      <c r="Z1210" s="87"/>
      <c r="AA1210" s="87"/>
      <c r="AB1210" s="87"/>
      <c r="AC1210" s="90" t="str">
        <f t="shared" si="297"/>
        <v>Toberín</v>
      </c>
      <c r="AD1210" s="87" t="s">
        <v>527</v>
      </c>
      <c r="AE1210" s="87"/>
      <c r="AF1210" s="87"/>
      <c r="AG1210" s="87"/>
      <c r="AH1210" s="87"/>
      <c r="AI1210" s="87"/>
      <c r="AJ1210" s="87"/>
      <c r="AK1210" s="87"/>
      <c r="AL1210" s="87"/>
      <c r="AM1210" s="87"/>
      <c r="AN1210" s="90" t="s">
        <v>5453</v>
      </c>
      <c r="AO1210" s="90" t="s">
        <v>5454</v>
      </c>
      <c r="AP1210" s="82"/>
      <c r="AQ1210" s="87" t="s">
        <v>59</v>
      </c>
      <c r="AR1210" s="87" t="s">
        <v>80</v>
      </c>
      <c r="AS1210" s="82"/>
      <c r="AT1210" s="87"/>
      <c r="AU1210" s="87"/>
      <c r="AV1210" s="87">
        <f t="shared" si="298"/>
        <v>0</v>
      </c>
      <c r="AW1210" s="87" t="str">
        <f t="shared" si="299"/>
        <v/>
      </c>
      <c r="AX1210" s="87"/>
      <c r="AY1210" s="87"/>
      <c r="AZ1210" s="87"/>
      <c r="BA1210" s="91"/>
      <c r="BB1210" s="84"/>
      <c r="BC1210" s="85"/>
      <c r="BD1210" s="85"/>
    </row>
    <row r="1211" spans="1:56" s="86" customFormat="1" ht="42" customHeight="1">
      <c r="A1211" s="87">
        <v>1206</v>
      </c>
      <c r="B1211" s="90" t="s">
        <v>5455</v>
      </c>
      <c r="C1211" s="88">
        <v>45604</v>
      </c>
      <c r="D1211" s="89">
        <v>0.54166666666666663</v>
      </c>
      <c r="E1211" s="87" t="s">
        <v>58</v>
      </c>
      <c r="F1211" s="87" t="s">
        <v>1184</v>
      </c>
      <c r="G1211" s="87" t="s">
        <v>62</v>
      </c>
      <c r="H1211" s="90" t="s">
        <v>5456</v>
      </c>
      <c r="I1211" s="90" t="s">
        <v>128</v>
      </c>
      <c r="J1211" s="87" t="s">
        <v>5457</v>
      </c>
      <c r="K1211" s="87" t="s">
        <v>120</v>
      </c>
      <c r="L1211" s="90" t="s">
        <v>2860</v>
      </c>
      <c r="M1211" s="91" t="s">
        <v>3042</v>
      </c>
      <c r="N1211" s="90" t="s">
        <v>3042</v>
      </c>
      <c r="O1211" s="90" t="str">
        <f t="shared" si="295"/>
        <v>Fontibón</v>
      </c>
      <c r="P1211" s="87" t="s">
        <v>420</v>
      </c>
      <c r="Q1211" s="87"/>
      <c r="R1211" s="87"/>
      <c r="S1211" s="87"/>
      <c r="T1211" s="87"/>
      <c r="U1211" s="87"/>
      <c r="V1211" s="90" t="str">
        <f t="shared" si="296"/>
        <v>Occidente</v>
      </c>
      <c r="W1211" s="87" t="s">
        <v>124</v>
      </c>
      <c r="X1211" s="87"/>
      <c r="Y1211" s="87"/>
      <c r="Z1211" s="87"/>
      <c r="AA1211" s="87"/>
      <c r="AB1211" s="87"/>
      <c r="AC1211" s="90" t="str">
        <f t="shared" si="297"/>
        <v>Fontibón</v>
      </c>
      <c r="AD1211" s="87" t="s">
        <v>420</v>
      </c>
      <c r="AE1211" s="87"/>
      <c r="AF1211" s="87"/>
      <c r="AG1211" s="87"/>
      <c r="AH1211" s="87"/>
      <c r="AI1211" s="87"/>
      <c r="AJ1211" s="87"/>
      <c r="AK1211" s="87"/>
      <c r="AL1211" s="87"/>
      <c r="AM1211" s="87"/>
      <c r="AN1211" s="90" t="s">
        <v>5458</v>
      </c>
      <c r="AO1211" s="90" t="s">
        <v>5459</v>
      </c>
      <c r="AP1211" s="82"/>
      <c r="AQ1211" s="87" t="s">
        <v>59</v>
      </c>
      <c r="AR1211" s="87" t="s">
        <v>80</v>
      </c>
      <c r="AS1211" s="82"/>
      <c r="AT1211" s="87">
        <v>7</v>
      </c>
      <c r="AU1211" s="87">
        <v>1</v>
      </c>
      <c r="AV1211" s="87">
        <f t="shared" si="298"/>
        <v>8</v>
      </c>
      <c r="AW1211" s="87" t="str">
        <f t="shared" si="299"/>
        <v>Contenidos adaptados</v>
      </c>
      <c r="AX1211" s="87" t="s">
        <v>212</v>
      </c>
      <c r="AY1211" s="87"/>
      <c r="AZ1211" s="87"/>
      <c r="BA1211" s="91" t="s">
        <v>5460</v>
      </c>
      <c r="BB1211" s="84"/>
      <c r="BC1211" s="85"/>
      <c r="BD1211" s="85"/>
    </row>
    <row r="1212" spans="1:56" s="86" customFormat="1" ht="40.5" customHeight="1">
      <c r="A1212" s="78">
        <v>1207</v>
      </c>
      <c r="B1212" s="90" t="s">
        <v>5461</v>
      </c>
      <c r="C1212" s="88">
        <v>45604</v>
      </c>
      <c r="D1212" s="89">
        <v>0.58333333333333337</v>
      </c>
      <c r="E1212" s="87" t="s">
        <v>58</v>
      </c>
      <c r="F1212" s="87" t="s">
        <v>116</v>
      </c>
      <c r="G1212" s="87" t="s">
        <v>62</v>
      </c>
      <c r="H1212" s="90" t="s">
        <v>5462</v>
      </c>
      <c r="I1212" s="90" t="s">
        <v>118</v>
      </c>
      <c r="J1212" s="87" t="s">
        <v>119</v>
      </c>
      <c r="K1212" s="87" t="s">
        <v>1322</v>
      </c>
      <c r="L1212" s="90" t="s">
        <v>5463</v>
      </c>
      <c r="M1212" s="91" t="s">
        <v>5464</v>
      </c>
      <c r="N1212" s="90" t="s">
        <v>5465</v>
      </c>
      <c r="O1212" s="90" t="str">
        <f t="shared" si="295"/>
        <v>Fontibón</v>
      </c>
      <c r="P1212" s="87" t="s">
        <v>420</v>
      </c>
      <c r="Q1212" s="87"/>
      <c r="R1212" s="87"/>
      <c r="S1212" s="87"/>
      <c r="T1212" s="87"/>
      <c r="U1212" s="87"/>
      <c r="V1212" s="90" t="str">
        <f t="shared" si="296"/>
        <v>Occidente</v>
      </c>
      <c r="W1212" s="87" t="s">
        <v>124</v>
      </c>
      <c r="X1212" s="87"/>
      <c r="Y1212" s="87"/>
      <c r="Z1212" s="87"/>
      <c r="AA1212" s="87"/>
      <c r="AB1212" s="87"/>
      <c r="AC1212" s="90" t="str">
        <f t="shared" si="297"/>
        <v>Fontibón</v>
      </c>
      <c r="AD1212" s="87" t="s">
        <v>420</v>
      </c>
      <c r="AE1212" s="87"/>
      <c r="AF1212" s="87"/>
      <c r="AG1212" s="87"/>
      <c r="AH1212" s="87"/>
      <c r="AI1212" s="87"/>
      <c r="AJ1212" s="87"/>
      <c r="AK1212" s="87"/>
      <c r="AL1212" s="87"/>
      <c r="AM1212" s="87"/>
      <c r="AN1212" s="90" t="s">
        <v>80</v>
      </c>
      <c r="AO1212" s="90" t="s">
        <v>5466</v>
      </c>
      <c r="AP1212" s="82"/>
      <c r="AQ1212" s="87" t="s">
        <v>59</v>
      </c>
      <c r="AR1212" s="87" t="s">
        <v>80</v>
      </c>
      <c r="AS1212" s="82"/>
      <c r="AT1212" s="87"/>
      <c r="AU1212" s="87"/>
      <c r="AV1212" s="87">
        <f t="shared" si="298"/>
        <v>0</v>
      </c>
      <c r="AW1212" s="87" t="str">
        <f t="shared" si="299"/>
        <v/>
      </c>
      <c r="AX1212" s="87"/>
      <c r="AY1212" s="87"/>
      <c r="AZ1212" s="87"/>
      <c r="BA1212" s="91"/>
      <c r="BB1212" s="84"/>
      <c r="BC1212" s="85"/>
      <c r="BD1212" s="85"/>
    </row>
    <row r="1213" spans="1:56" s="86" customFormat="1" ht="42" customHeight="1">
      <c r="A1213" s="87">
        <v>1208</v>
      </c>
      <c r="B1213" s="90" t="s">
        <v>5467</v>
      </c>
      <c r="C1213" s="88">
        <v>45604</v>
      </c>
      <c r="D1213" s="89">
        <v>0.58333333333333337</v>
      </c>
      <c r="E1213" s="87" t="s">
        <v>58</v>
      </c>
      <c r="F1213" s="87" t="s">
        <v>1184</v>
      </c>
      <c r="G1213" s="87" t="s">
        <v>62</v>
      </c>
      <c r="H1213" s="90" t="s">
        <v>5468</v>
      </c>
      <c r="I1213" s="90" t="s">
        <v>118</v>
      </c>
      <c r="J1213" s="87" t="s">
        <v>119</v>
      </c>
      <c r="K1213" s="87" t="s">
        <v>120</v>
      </c>
      <c r="L1213" s="90" t="s">
        <v>3042</v>
      </c>
      <c r="M1213" s="90" t="s">
        <v>3042</v>
      </c>
      <c r="N1213" s="90" t="s">
        <v>3042</v>
      </c>
      <c r="O1213" s="90" t="str">
        <f t="shared" si="295"/>
        <v>Bosa</v>
      </c>
      <c r="P1213" s="87" t="s">
        <v>472</v>
      </c>
      <c r="Q1213" s="87"/>
      <c r="R1213" s="87"/>
      <c r="S1213" s="87"/>
      <c r="T1213" s="87"/>
      <c r="U1213" s="87"/>
      <c r="V1213" s="90" t="str">
        <f t="shared" si="296"/>
        <v>Occidente</v>
      </c>
      <c r="W1213" s="87" t="s">
        <v>124</v>
      </c>
      <c r="X1213" s="87"/>
      <c r="Y1213" s="87"/>
      <c r="Z1213" s="87"/>
      <c r="AA1213" s="87"/>
      <c r="AB1213" s="87"/>
      <c r="AC1213" s="90" t="str">
        <f t="shared" si="297"/>
        <v>Bosa</v>
      </c>
      <c r="AD1213" s="87" t="s">
        <v>472</v>
      </c>
      <c r="AE1213" s="87"/>
      <c r="AF1213" s="87"/>
      <c r="AG1213" s="87"/>
      <c r="AH1213" s="87"/>
      <c r="AI1213" s="87"/>
      <c r="AJ1213" s="87"/>
      <c r="AK1213" s="87"/>
      <c r="AL1213" s="87"/>
      <c r="AM1213" s="87"/>
      <c r="AN1213" s="90" t="s">
        <v>5469</v>
      </c>
      <c r="AO1213" s="90" t="s">
        <v>5470</v>
      </c>
      <c r="AP1213" s="82"/>
      <c r="AQ1213" s="87" t="s">
        <v>59</v>
      </c>
      <c r="AR1213" s="87" t="s">
        <v>80</v>
      </c>
      <c r="AS1213" s="82"/>
      <c r="AT1213" s="87">
        <v>1</v>
      </c>
      <c r="AU1213" s="87">
        <v>3</v>
      </c>
      <c r="AV1213" s="87">
        <f t="shared" si="298"/>
        <v>4</v>
      </c>
      <c r="AW1213" s="87" t="str">
        <f t="shared" si="299"/>
        <v>Ninguna</v>
      </c>
      <c r="AX1213" s="87" t="s">
        <v>75</v>
      </c>
      <c r="AY1213" s="87"/>
      <c r="AZ1213" s="87"/>
      <c r="BA1213" s="91" t="s">
        <v>5471</v>
      </c>
      <c r="BB1213" s="84"/>
      <c r="BC1213" s="85"/>
      <c r="BD1213" s="85"/>
    </row>
    <row r="1214" spans="1:56" s="86" customFormat="1" ht="42" customHeight="1">
      <c r="A1214" s="78">
        <v>1209</v>
      </c>
      <c r="B1214" s="90" t="s">
        <v>5472</v>
      </c>
      <c r="C1214" s="88">
        <v>45604</v>
      </c>
      <c r="D1214" s="89">
        <v>0.58333333333333337</v>
      </c>
      <c r="E1214" s="87" t="s">
        <v>58</v>
      </c>
      <c r="F1214" s="87" t="s">
        <v>1184</v>
      </c>
      <c r="G1214" s="87" t="s">
        <v>62</v>
      </c>
      <c r="H1214" s="90" t="s">
        <v>5473</v>
      </c>
      <c r="I1214" s="90" t="s">
        <v>128</v>
      </c>
      <c r="J1214" s="87" t="s">
        <v>816</v>
      </c>
      <c r="K1214" s="87"/>
      <c r="L1214" s="90" t="s">
        <v>2860</v>
      </c>
      <c r="M1214" s="91" t="s">
        <v>3042</v>
      </c>
      <c r="N1214" s="90" t="s">
        <v>3042</v>
      </c>
      <c r="O1214" s="90" t="str">
        <f t="shared" si="295"/>
        <v>Suba</v>
      </c>
      <c r="P1214" s="87" t="s">
        <v>394</v>
      </c>
      <c r="Q1214" s="87"/>
      <c r="R1214" s="87"/>
      <c r="S1214" s="87"/>
      <c r="T1214" s="87"/>
      <c r="U1214" s="87"/>
      <c r="V1214" s="90" t="str">
        <f t="shared" si="296"/>
        <v>Noroccidente</v>
      </c>
      <c r="W1214" s="87" t="s">
        <v>395</v>
      </c>
      <c r="X1214" s="87"/>
      <c r="Y1214" s="87"/>
      <c r="Z1214" s="87"/>
      <c r="AA1214" s="87"/>
      <c r="AB1214" s="87"/>
      <c r="AC1214" s="90" t="str">
        <f t="shared" si="297"/>
        <v>Suba</v>
      </c>
      <c r="AD1214" s="87" t="s">
        <v>394</v>
      </c>
      <c r="AE1214" s="87"/>
      <c r="AF1214" s="87"/>
      <c r="AG1214" s="87"/>
      <c r="AH1214" s="87"/>
      <c r="AI1214" s="87"/>
      <c r="AJ1214" s="87"/>
      <c r="AK1214" s="87"/>
      <c r="AL1214" s="87"/>
      <c r="AM1214" s="87"/>
      <c r="AN1214" s="90" t="s">
        <v>80</v>
      </c>
      <c r="AO1214" s="90" t="s">
        <v>5474</v>
      </c>
      <c r="AP1214" s="82"/>
      <c r="AQ1214" s="87" t="s">
        <v>59</v>
      </c>
      <c r="AR1214" s="87" t="s">
        <v>80</v>
      </c>
      <c r="AS1214" s="82"/>
      <c r="AT1214" s="87"/>
      <c r="AU1214" s="87"/>
      <c r="AV1214" s="87">
        <f t="shared" si="298"/>
        <v>0</v>
      </c>
      <c r="AW1214" s="87" t="str">
        <f t="shared" si="299"/>
        <v/>
      </c>
      <c r="AX1214" s="87"/>
      <c r="AY1214" s="87"/>
      <c r="AZ1214" s="87"/>
      <c r="BA1214" s="91"/>
      <c r="BB1214" s="84"/>
      <c r="BC1214" s="85"/>
      <c r="BD1214" s="85"/>
    </row>
    <row r="1215" spans="1:56" s="86" customFormat="1" ht="42" customHeight="1">
      <c r="A1215" s="87">
        <v>1210</v>
      </c>
      <c r="B1215" s="90" t="s">
        <v>5475</v>
      </c>
      <c r="C1215" s="88">
        <v>45604</v>
      </c>
      <c r="D1215" s="89">
        <v>0.58333333333333337</v>
      </c>
      <c r="E1215" s="87" t="s">
        <v>58</v>
      </c>
      <c r="F1215" s="87" t="s">
        <v>1184</v>
      </c>
      <c r="G1215" s="87" t="s">
        <v>62</v>
      </c>
      <c r="H1215" s="90" t="s">
        <v>5476</v>
      </c>
      <c r="I1215" s="90" t="s">
        <v>128</v>
      </c>
      <c r="J1215" s="87" t="s">
        <v>816</v>
      </c>
      <c r="K1215" s="87"/>
      <c r="L1215" s="90" t="s">
        <v>5477</v>
      </c>
      <c r="M1215" s="91" t="s">
        <v>5478</v>
      </c>
      <c r="N1215" s="90" t="s">
        <v>5479</v>
      </c>
      <c r="O1215" s="90" t="str">
        <f t="shared" si="295"/>
        <v>Engativá</v>
      </c>
      <c r="P1215" s="87" t="s">
        <v>123</v>
      </c>
      <c r="Q1215" s="87"/>
      <c r="R1215" s="87"/>
      <c r="S1215" s="87"/>
      <c r="T1215" s="87"/>
      <c r="U1215" s="87"/>
      <c r="V1215" s="90" t="str">
        <f t="shared" si="296"/>
        <v>Occidente</v>
      </c>
      <c r="W1215" s="87" t="s">
        <v>124</v>
      </c>
      <c r="X1215" s="87"/>
      <c r="Y1215" s="87"/>
      <c r="Z1215" s="87"/>
      <c r="AA1215" s="87"/>
      <c r="AB1215" s="87"/>
      <c r="AC1215" s="90" t="str">
        <f t="shared" si="297"/>
        <v>Tabora</v>
      </c>
      <c r="AD1215" s="87" t="s">
        <v>257</v>
      </c>
      <c r="AE1215" s="87"/>
      <c r="AF1215" s="87"/>
      <c r="AG1215" s="87"/>
      <c r="AH1215" s="87"/>
      <c r="AI1215" s="87"/>
      <c r="AJ1215" s="87"/>
      <c r="AK1215" s="87"/>
      <c r="AL1215" s="87"/>
      <c r="AM1215" s="87"/>
      <c r="AN1215" s="90" t="s">
        <v>5480</v>
      </c>
      <c r="AO1215" s="90" t="s">
        <v>5481</v>
      </c>
      <c r="AP1215" s="82"/>
      <c r="AQ1215" s="87" t="s">
        <v>59</v>
      </c>
      <c r="AR1215" s="87" t="s">
        <v>80</v>
      </c>
      <c r="AS1215" s="82"/>
      <c r="AT1215" s="87">
        <v>5</v>
      </c>
      <c r="AU1215" s="87">
        <v>2</v>
      </c>
      <c r="AV1215" s="87">
        <f t="shared" si="298"/>
        <v>7</v>
      </c>
      <c r="AW1215" s="87" t="str">
        <f t="shared" si="299"/>
        <v>Accesibilidad Universal</v>
      </c>
      <c r="AX1215" s="87" t="s">
        <v>246</v>
      </c>
      <c r="AY1215" s="87"/>
      <c r="AZ1215" s="87"/>
      <c r="BA1215" s="91" t="s">
        <v>5482</v>
      </c>
      <c r="BB1215" s="84"/>
      <c r="BC1215" s="85"/>
      <c r="BD1215" s="85"/>
    </row>
    <row r="1216" spans="1:56" s="86" customFormat="1" ht="37.5" customHeight="1">
      <c r="A1216" s="78">
        <v>1211</v>
      </c>
      <c r="B1216" s="90" t="s">
        <v>5483</v>
      </c>
      <c r="C1216" s="88">
        <v>45604</v>
      </c>
      <c r="D1216" s="89">
        <v>0.66666666666666663</v>
      </c>
      <c r="E1216" s="87" t="s">
        <v>58</v>
      </c>
      <c r="F1216" s="87" t="s">
        <v>1184</v>
      </c>
      <c r="G1216" s="87" t="s">
        <v>62</v>
      </c>
      <c r="H1216" s="90" t="s">
        <v>5484</v>
      </c>
      <c r="I1216" s="90" t="s">
        <v>118</v>
      </c>
      <c r="J1216" s="87" t="s">
        <v>119</v>
      </c>
      <c r="K1216" s="87" t="s">
        <v>120</v>
      </c>
      <c r="L1216" s="90" t="s">
        <v>5485</v>
      </c>
      <c r="M1216" s="91" t="s">
        <v>5486</v>
      </c>
      <c r="N1216" s="90" t="s">
        <v>5487</v>
      </c>
      <c r="O1216" s="90" t="str">
        <f t="shared" si="295"/>
        <v>Suba</v>
      </c>
      <c r="P1216" s="87" t="s">
        <v>394</v>
      </c>
      <c r="Q1216" s="87"/>
      <c r="R1216" s="87"/>
      <c r="S1216" s="87"/>
      <c r="T1216" s="87"/>
      <c r="U1216" s="87"/>
      <c r="V1216" s="90" t="str">
        <f t="shared" si="296"/>
        <v>Norte</v>
      </c>
      <c r="W1216" s="87" t="s">
        <v>429</v>
      </c>
      <c r="X1216" s="87"/>
      <c r="Y1216" s="87"/>
      <c r="Z1216" s="87"/>
      <c r="AA1216" s="87"/>
      <c r="AB1216" s="87"/>
      <c r="AC1216" s="90" t="str">
        <f t="shared" si="297"/>
        <v>Niza</v>
      </c>
      <c r="AD1216" s="87" t="s">
        <v>571</v>
      </c>
      <c r="AE1216" s="87"/>
      <c r="AF1216" s="87"/>
      <c r="AG1216" s="87"/>
      <c r="AH1216" s="87"/>
      <c r="AI1216" s="87"/>
      <c r="AJ1216" s="87"/>
      <c r="AK1216" s="87"/>
      <c r="AL1216" s="87"/>
      <c r="AM1216" s="87"/>
      <c r="AN1216" s="90" t="s">
        <v>5488</v>
      </c>
      <c r="AO1216" s="90" t="s">
        <v>5489</v>
      </c>
      <c r="AP1216" s="82"/>
      <c r="AQ1216" s="87" t="s">
        <v>59</v>
      </c>
      <c r="AR1216" s="87" t="s">
        <v>80</v>
      </c>
      <c r="AS1216" s="82"/>
      <c r="AT1216" s="87">
        <v>0</v>
      </c>
      <c r="AU1216" s="87">
        <v>3</v>
      </c>
      <c r="AV1216" s="87">
        <f t="shared" si="298"/>
        <v>3</v>
      </c>
      <c r="AW1216" s="87" t="str">
        <f t="shared" si="299"/>
        <v>Ninguna</v>
      </c>
      <c r="AX1216" s="87" t="s">
        <v>75</v>
      </c>
      <c r="AY1216" s="87"/>
      <c r="AZ1216" s="87"/>
      <c r="BA1216" s="91" t="s">
        <v>5490</v>
      </c>
      <c r="BB1216" s="84"/>
      <c r="BC1216" s="85"/>
      <c r="BD1216" s="85"/>
    </row>
    <row r="1217" spans="1:56" s="86" customFormat="1" ht="39.75" customHeight="1">
      <c r="A1217" s="87">
        <v>1212</v>
      </c>
      <c r="B1217" s="90" t="s">
        <v>5491</v>
      </c>
      <c r="C1217" s="88">
        <v>45604</v>
      </c>
      <c r="D1217" s="89">
        <v>0.66666666666666663</v>
      </c>
      <c r="E1217" s="87" t="s">
        <v>58</v>
      </c>
      <c r="F1217" s="87" t="s">
        <v>1184</v>
      </c>
      <c r="G1217" s="87" t="s">
        <v>62</v>
      </c>
      <c r="H1217" s="90" t="s">
        <v>5492</v>
      </c>
      <c r="I1217" s="90" t="s">
        <v>128</v>
      </c>
      <c r="J1217" s="87" t="s">
        <v>173</v>
      </c>
      <c r="K1217" s="87"/>
      <c r="L1217" s="90" t="s">
        <v>5433</v>
      </c>
      <c r="M1217" s="91" t="s">
        <v>5434</v>
      </c>
      <c r="N1217" s="90" t="s">
        <v>5435</v>
      </c>
      <c r="O1217" s="90" t="str">
        <f t="shared" si="295"/>
        <v>Chapinero</v>
      </c>
      <c r="P1217" s="87" t="s">
        <v>221</v>
      </c>
      <c r="Q1217" s="87"/>
      <c r="R1217" s="87"/>
      <c r="S1217" s="87"/>
      <c r="T1217" s="87"/>
      <c r="U1217" s="87"/>
      <c r="V1217" s="90" t="str">
        <f t="shared" si="296"/>
        <v>Centro Ampliado</v>
      </c>
      <c r="W1217" s="87" t="s">
        <v>415</v>
      </c>
      <c r="X1217" s="87"/>
      <c r="Y1217" s="87"/>
      <c r="Z1217" s="87"/>
      <c r="AA1217" s="87"/>
      <c r="AB1217" s="87"/>
      <c r="AC1217" s="90" t="str">
        <f t="shared" si="297"/>
        <v>Chapinero</v>
      </c>
      <c r="AD1217" s="87" t="s">
        <v>221</v>
      </c>
      <c r="AE1217" s="87"/>
      <c r="AF1217" s="87"/>
      <c r="AG1217" s="87"/>
      <c r="AH1217" s="87"/>
      <c r="AI1217" s="87"/>
      <c r="AJ1217" s="87"/>
      <c r="AK1217" s="87"/>
      <c r="AL1217" s="87"/>
      <c r="AM1217" s="87"/>
      <c r="AN1217" s="90" t="s">
        <v>5436</v>
      </c>
      <c r="AO1217" s="90" t="s">
        <v>5493</v>
      </c>
      <c r="AP1217" s="82"/>
      <c r="AQ1217" s="87" t="s">
        <v>59</v>
      </c>
      <c r="AR1217" s="87" t="s">
        <v>80</v>
      </c>
      <c r="AS1217" s="82"/>
      <c r="AT1217" s="87">
        <v>5</v>
      </c>
      <c r="AU1217" s="87">
        <v>5</v>
      </c>
      <c r="AV1217" s="87">
        <f t="shared" si="298"/>
        <v>10</v>
      </c>
      <c r="AW1217" s="87" t="str">
        <f t="shared" si="299"/>
        <v>Ninguna</v>
      </c>
      <c r="AX1217" s="87" t="s">
        <v>75</v>
      </c>
      <c r="AY1217" s="87"/>
      <c r="AZ1217" s="87"/>
      <c r="BA1217" s="91" t="s">
        <v>5494</v>
      </c>
      <c r="BB1217" s="84"/>
      <c r="BC1217" s="85"/>
      <c r="BD1217" s="85"/>
    </row>
    <row r="1218" spans="1:56" s="86" customFormat="1" ht="39.75" customHeight="1">
      <c r="A1218" s="78">
        <v>1213</v>
      </c>
      <c r="B1218" s="90" t="s">
        <v>5495</v>
      </c>
      <c r="C1218" s="88">
        <v>45604</v>
      </c>
      <c r="D1218" s="89">
        <v>0.70833333333333337</v>
      </c>
      <c r="E1218" s="87" t="s">
        <v>58</v>
      </c>
      <c r="F1218" s="87" t="s">
        <v>1184</v>
      </c>
      <c r="G1218" s="87" t="s">
        <v>62</v>
      </c>
      <c r="H1218" s="90" t="s">
        <v>5496</v>
      </c>
      <c r="I1218" s="90" t="s">
        <v>118</v>
      </c>
      <c r="J1218" s="87" t="s">
        <v>119</v>
      </c>
      <c r="K1218" s="87" t="s">
        <v>120</v>
      </c>
      <c r="L1218" s="90" t="s">
        <v>5497</v>
      </c>
      <c r="M1218" s="91" t="s">
        <v>5498</v>
      </c>
      <c r="N1218" s="90" t="s">
        <v>4708</v>
      </c>
      <c r="O1218" s="90" t="str">
        <f t="shared" si="295"/>
        <v>Puente Aranda</v>
      </c>
      <c r="P1218" s="87" t="s">
        <v>823</v>
      </c>
      <c r="Q1218" s="87"/>
      <c r="R1218" s="87"/>
      <c r="S1218" s="87"/>
      <c r="T1218" s="87"/>
      <c r="U1218" s="87"/>
      <c r="V1218" s="90" t="str">
        <f t="shared" si="296"/>
        <v>Centro Ampliado</v>
      </c>
      <c r="W1218" s="87" t="s">
        <v>415</v>
      </c>
      <c r="X1218" s="87"/>
      <c r="Y1218" s="87"/>
      <c r="Z1218" s="87"/>
      <c r="AA1218" s="87"/>
      <c r="AB1218" s="87"/>
      <c r="AC1218" s="90" t="str">
        <f t="shared" si="297"/>
        <v>Puente Aranda</v>
      </c>
      <c r="AD1218" s="87" t="s">
        <v>823</v>
      </c>
      <c r="AE1218" s="87"/>
      <c r="AF1218" s="87"/>
      <c r="AG1218" s="87"/>
      <c r="AH1218" s="87"/>
      <c r="AI1218" s="87"/>
      <c r="AJ1218" s="87"/>
      <c r="AK1218" s="87"/>
      <c r="AL1218" s="87"/>
      <c r="AM1218" s="114"/>
      <c r="AN1218" s="141" t="s">
        <v>5499</v>
      </c>
      <c r="AO1218" s="142" t="s">
        <v>5500</v>
      </c>
      <c r="AP1218" s="82"/>
      <c r="AQ1218" s="87" t="s">
        <v>59</v>
      </c>
      <c r="AR1218" s="87" t="s">
        <v>80</v>
      </c>
      <c r="AS1218" s="82"/>
      <c r="AT1218" s="87"/>
      <c r="AU1218" s="87">
        <v>18</v>
      </c>
      <c r="AV1218" s="87">
        <v>4</v>
      </c>
      <c r="AW1218" s="87" t="str">
        <f t="shared" si="299"/>
        <v>Ninguna</v>
      </c>
      <c r="AX1218" s="87" t="s">
        <v>75</v>
      </c>
      <c r="AY1218" s="87"/>
      <c r="AZ1218" s="87"/>
      <c r="BA1218" s="91" t="s">
        <v>5501</v>
      </c>
      <c r="BB1218" s="84"/>
      <c r="BC1218" s="85"/>
      <c r="BD1218" s="85"/>
    </row>
    <row r="1219" spans="1:56" s="86" customFormat="1" ht="82.5" customHeight="1">
      <c r="A1219" s="87">
        <v>1214</v>
      </c>
      <c r="B1219" s="90" t="s">
        <v>5502</v>
      </c>
      <c r="C1219" s="88">
        <v>45604</v>
      </c>
      <c r="D1219" s="89">
        <v>0.70833333333333337</v>
      </c>
      <c r="E1219" s="87" t="s">
        <v>58</v>
      </c>
      <c r="F1219" s="87" t="s">
        <v>1184</v>
      </c>
      <c r="G1219" s="87" t="s">
        <v>95</v>
      </c>
      <c r="H1219" s="90" t="s">
        <v>5503</v>
      </c>
      <c r="I1219" s="90" t="s">
        <v>128</v>
      </c>
      <c r="J1219" s="87" t="s">
        <v>173</v>
      </c>
      <c r="K1219" s="87"/>
      <c r="L1219" s="90" t="s">
        <v>5504</v>
      </c>
      <c r="M1219" s="91" t="s">
        <v>5505</v>
      </c>
      <c r="N1219" s="90" t="s">
        <v>5506</v>
      </c>
      <c r="O1219" s="90" t="str">
        <f t="shared" si="295"/>
        <v>Ciudad Bolívar</v>
      </c>
      <c r="P1219" s="87" t="s">
        <v>107</v>
      </c>
      <c r="Q1219" s="87"/>
      <c r="R1219" s="87"/>
      <c r="S1219" s="87"/>
      <c r="T1219" s="87"/>
      <c r="U1219" s="87"/>
      <c r="V1219" s="90" t="str">
        <f t="shared" si="296"/>
        <v>Suroriente, Ruralidad</v>
      </c>
      <c r="W1219" s="87" t="s">
        <v>108</v>
      </c>
      <c r="X1219" s="87" t="s">
        <v>109</v>
      </c>
      <c r="Y1219" s="87"/>
      <c r="Z1219" s="87"/>
      <c r="AA1219" s="87"/>
      <c r="AB1219" s="87"/>
      <c r="AC1219" s="90" t="str">
        <f t="shared" si="297"/>
        <v>Cuenca del Tunjuelo</v>
      </c>
      <c r="AD1219" s="87" t="s">
        <v>112</v>
      </c>
      <c r="AE1219" s="87"/>
      <c r="AF1219" s="87"/>
      <c r="AG1219" s="87"/>
      <c r="AH1219" s="87"/>
      <c r="AI1219" s="87"/>
      <c r="AJ1219" s="87"/>
      <c r="AK1219" s="87"/>
      <c r="AL1219" s="87"/>
      <c r="AM1219" s="87"/>
      <c r="AN1219" s="90" t="s">
        <v>5507</v>
      </c>
      <c r="AO1219" s="90" t="s">
        <v>5508</v>
      </c>
      <c r="AP1219" s="82"/>
      <c r="AQ1219" s="87" t="s">
        <v>59</v>
      </c>
      <c r="AR1219" s="87" t="s">
        <v>80</v>
      </c>
      <c r="AS1219" s="82"/>
      <c r="AT1219" s="87">
        <v>7</v>
      </c>
      <c r="AU1219" s="87">
        <v>2</v>
      </c>
      <c r="AV1219" s="87">
        <f t="shared" ref="AV1219:AV1224" si="300">AT1219+AU1219</f>
        <v>9</v>
      </c>
      <c r="AW1219" s="87" t="str">
        <f t="shared" si="299"/>
        <v>Ninguna</v>
      </c>
      <c r="AX1219" s="87" t="s">
        <v>75</v>
      </c>
      <c r="AY1219" s="87"/>
      <c r="AZ1219" s="87"/>
      <c r="BA1219" s="91" t="s">
        <v>5503</v>
      </c>
      <c r="BB1219" s="84"/>
      <c r="BC1219" s="85"/>
      <c r="BD1219" s="85"/>
    </row>
    <row r="1220" spans="1:56" s="86" customFormat="1" ht="42.75" customHeight="1">
      <c r="A1220" s="78">
        <v>1215</v>
      </c>
      <c r="B1220" s="90" t="s">
        <v>5509</v>
      </c>
      <c r="C1220" s="88">
        <v>45604</v>
      </c>
      <c r="D1220" s="89">
        <v>0.70833333333333337</v>
      </c>
      <c r="E1220" s="87" t="s">
        <v>58</v>
      </c>
      <c r="F1220" s="87" t="s">
        <v>1184</v>
      </c>
      <c r="G1220" s="87" t="s">
        <v>62</v>
      </c>
      <c r="H1220" s="90" t="s">
        <v>5510</v>
      </c>
      <c r="I1220" s="90" t="s">
        <v>118</v>
      </c>
      <c r="J1220" s="87" t="s">
        <v>173</v>
      </c>
      <c r="K1220" s="87"/>
      <c r="L1220" s="90" t="s">
        <v>5511</v>
      </c>
      <c r="M1220" s="91" t="s">
        <v>5512</v>
      </c>
      <c r="N1220" s="90" t="s">
        <v>5513</v>
      </c>
      <c r="O1220" s="90" t="str">
        <f t="shared" si="295"/>
        <v>Rafael Uribe Uribe</v>
      </c>
      <c r="P1220" s="87" t="s">
        <v>414</v>
      </c>
      <c r="Q1220" s="87"/>
      <c r="R1220" s="87"/>
      <c r="S1220" s="87"/>
      <c r="T1220" s="87"/>
      <c r="U1220" s="87"/>
      <c r="V1220" s="90" t="str">
        <f t="shared" si="296"/>
        <v>Suroriente</v>
      </c>
      <c r="W1220" s="87" t="s">
        <v>108</v>
      </c>
      <c r="X1220" s="87"/>
      <c r="Y1220" s="87"/>
      <c r="Z1220" s="87"/>
      <c r="AA1220" s="87"/>
      <c r="AB1220" s="87"/>
      <c r="AC1220" s="90" t="str">
        <f t="shared" si="297"/>
        <v>Rafael Uribe</v>
      </c>
      <c r="AD1220" s="87" t="s">
        <v>467</v>
      </c>
      <c r="AE1220" s="87"/>
      <c r="AF1220" s="87"/>
      <c r="AG1220" s="87"/>
      <c r="AH1220" s="87"/>
      <c r="AI1220" s="87"/>
      <c r="AJ1220" s="87"/>
      <c r="AK1220" s="87"/>
      <c r="AL1220" s="87"/>
      <c r="AM1220" s="87"/>
      <c r="AN1220" s="90" t="s">
        <v>5514</v>
      </c>
      <c r="AO1220" s="90" t="s">
        <v>5515</v>
      </c>
      <c r="AP1220" s="82"/>
      <c r="AQ1220" s="87" t="s">
        <v>59</v>
      </c>
      <c r="AR1220" s="87" t="s">
        <v>80</v>
      </c>
      <c r="AS1220" s="82"/>
      <c r="AT1220" s="87"/>
      <c r="AU1220" s="87"/>
      <c r="AV1220" s="87">
        <f t="shared" si="300"/>
        <v>0</v>
      </c>
      <c r="AW1220" s="87" t="str">
        <f t="shared" si="299"/>
        <v/>
      </c>
      <c r="AX1220" s="87"/>
      <c r="AY1220" s="87"/>
      <c r="AZ1220" s="87"/>
      <c r="BA1220" s="91"/>
      <c r="BB1220" s="84"/>
      <c r="BC1220" s="85"/>
      <c r="BD1220" s="85"/>
    </row>
    <row r="1221" spans="1:56" s="86" customFormat="1" ht="34.5" customHeight="1">
      <c r="A1221" s="87">
        <v>1216</v>
      </c>
      <c r="B1221" s="90" t="s">
        <v>5516</v>
      </c>
      <c r="C1221" s="88">
        <v>45604</v>
      </c>
      <c r="D1221" s="89">
        <v>0.72916666666666663</v>
      </c>
      <c r="E1221" s="87" t="s">
        <v>58</v>
      </c>
      <c r="F1221" s="87" t="s">
        <v>1184</v>
      </c>
      <c r="G1221" s="87" t="s">
        <v>62</v>
      </c>
      <c r="H1221" s="90" t="s">
        <v>5418</v>
      </c>
      <c r="I1221" s="90" t="s">
        <v>118</v>
      </c>
      <c r="J1221" s="87" t="s">
        <v>119</v>
      </c>
      <c r="K1221" s="87" t="s">
        <v>120</v>
      </c>
      <c r="L1221" s="90" t="s">
        <v>5517</v>
      </c>
      <c r="M1221" s="91" t="s">
        <v>5518</v>
      </c>
      <c r="N1221" s="90" t="s">
        <v>5519</v>
      </c>
      <c r="O1221" s="90" t="str">
        <f t="shared" si="295"/>
        <v>Ciudad Bolívar</v>
      </c>
      <c r="P1221" s="87" t="s">
        <v>107</v>
      </c>
      <c r="Q1221" s="87"/>
      <c r="R1221" s="87"/>
      <c r="S1221" s="87"/>
      <c r="T1221" s="87"/>
      <c r="U1221" s="87"/>
      <c r="V1221" s="90" t="str">
        <f t="shared" si="296"/>
        <v>Suroriente</v>
      </c>
      <c r="W1221" s="87" t="s">
        <v>108</v>
      </c>
      <c r="X1221" s="87"/>
      <c r="Y1221" s="87"/>
      <c r="Z1221" s="87"/>
      <c r="AA1221" s="87"/>
      <c r="AB1221" s="87"/>
      <c r="AC1221" s="90" t="str">
        <f t="shared" si="297"/>
        <v>Arborizadora</v>
      </c>
      <c r="AD1221" s="87" t="s">
        <v>110</v>
      </c>
      <c r="AE1221" s="87"/>
      <c r="AF1221" s="87"/>
      <c r="AG1221" s="87"/>
      <c r="AH1221" s="87"/>
      <c r="AI1221" s="87"/>
      <c r="AJ1221" s="87"/>
      <c r="AK1221" s="87"/>
      <c r="AL1221" s="87"/>
      <c r="AM1221" s="87"/>
      <c r="AN1221" s="90" t="s">
        <v>5520</v>
      </c>
      <c r="AO1221" s="90" t="s">
        <v>5521</v>
      </c>
      <c r="AP1221" s="82"/>
      <c r="AQ1221" s="87" t="s">
        <v>59</v>
      </c>
      <c r="AR1221" s="87" t="s">
        <v>80</v>
      </c>
      <c r="AS1221" s="82"/>
      <c r="AT1221" s="87">
        <v>3</v>
      </c>
      <c r="AU1221" s="87">
        <v>4</v>
      </c>
      <c r="AV1221" s="87">
        <f t="shared" si="300"/>
        <v>7</v>
      </c>
      <c r="AW1221" s="87" t="str">
        <f t="shared" si="299"/>
        <v>Ninguna</v>
      </c>
      <c r="AX1221" s="87" t="s">
        <v>75</v>
      </c>
      <c r="AY1221" s="87"/>
      <c r="AZ1221" s="87"/>
      <c r="BA1221" s="91" t="s">
        <v>5522</v>
      </c>
      <c r="BB1221" s="84"/>
      <c r="BC1221" s="85"/>
      <c r="BD1221" s="85"/>
    </row>
    <row r="1222" spans="1:56" s="86" customFormat="1" ht="40.5" customHeight="1">
      <c r="A1222" s="78">
        <v>1217</v>
      </c>
      <c r="B1222" s="90" t="s">
        <v>5523</v>
      </c>
      <c r="C1222" s="88">
        <v>45604</v>
      </c>
      <c r="D1222" s="89">
        <v>0.72916666666666663</v>
      </c>
      <c r="E1222" s="87" t="s">
        <v>58</v>
      </c>
      <c r="F1222" s="87" t="s">
        <v>1184</v>
      </c>
      <c r="G1222" s="87" t="s">
        <v>62</v>
      </c>
      <c r="H1222" s="90" t="s">
        <v>5524</v>
      </c>
      <c r="I1222" s="90" t="s">
        <v>118</v>
      </c>
      <c r="J1222" s="87" t="s">
        <v>119</v>
      </c>
      <c r="K1222" s="87" t="s">
        <v>120</v>
      </c>
      <c r="L1222" s="90" t="s">
        <v>4708</v>
      </c>
      <c r="M1222" s="91" t="s">
        <v>1603</v>
      </c>
      <c r="N1222" s="90" t="s">
        <v>1603</v>
      </c>
      <c r="O1222" s="90" t="str">
        <f t="shared" si="295"/>
        <v>Bosa</v>
      </c>
      <c r="P1222" s="87" t="s">
        <v>472</v>
      </c>
      <c r="Q1222" s="87"/>
      <c r="R1222" s="87"/>
      <c r="S1222" s="87"/>
      <c r="T1222" s="87"/>
      <c r="U1222" s="87"/>
      <c r="V1222" s="90" t="str">
        <f t="shared" si="296"/>
        <v>Suroccidente</v>
      </c>
      <c r="W1222" s="87" t="s">
        <v>474</v>
      </c>
      <c r="X1222" s="87"/>
      <c r="Y1222" s="87"/>
      <c r="Z1222" s="87"/>
      <c r="AA1222" s="87"/>
      <c r="AB1222" s="87"/>
      <c r="AC1222" s="90" t="str">
        <f t="shared" si="297"/>
        <v>Bosa</v>
      </c>
      <c r="AD1222" s="87" t="s">
        <v>472</v>
      </c>
      <c r="AE1222" s="87"/>
      <c r="AF1222" s="87"/>
      <c r="AG1222" s="87"/>
      <c r="AH1222" s="87"/>
      <c r="AI1222" s="87"/>
      <c r="AJ1222" s="87"/>
      <c r="AK1222" s="87"/>
      <c r="AL1222" s="87"/>
      <c r="AM1222" s="87"/>
      <c r="AN1222" s="90" t="s">
        <v>5525</v>
      </c>
      <c r="AO1222" s="90" t="s">
        <v>5526</v>
      </c>
      <c r="AP1222" s="82"/>
      <c r="AQ1222" s="87" t="s">
        <v>59</v>
      </c>
      <c r="AR1222" s="87" t="s">
        <v>80</v>
      </c>
      <c r="AS1222" s="82"/>
      <c r="AT1222" s="87">
        <v>7</v>
      </c>
      <c r="AU1222" s="87">
        <v>5</v>
      </c>
      <c r="AV1222" s="87">
        <f t="shared" si="300"/>
        <v>12</v>
      </c>
      <c r="AW1222" s="87" t="str">
        <f t="shared" si="299"/>
        <v>Ninguna</v>
      </c>
      <c r="AX1222" s="87" t="s">
        <v>75</v>
      </c>
      <c r="AY1222" s="87"/>
      <c r="AZ1222" s="87"/>
      <c r="BA1222" s="91" t="s">
        <v>5527</v>
      </c>
      <c r="BB1222" s="84"/>
      <c r="BC1222" s="85"/>
      <c r="BD1222" s="85"/>
    </row>
    <row r="1223" spans="1:56" s="86" customFormat="1" ht="44.25" customHeight="1">
      <c r="A1223" s="87">
        <v>1218</v>
      </c>
      <c r="B1223" s="90" t="s">
        <v>5528</v>
      </c>
      <c r="C1223" s="88">
        <v>45604</v>
      </c>
      <c r="D1223" s="89">
        <v>0.79166666666666663</v>
      </c>
      <c r="E1223" s="87" t="s">
        <v>58</v>
      </c>
      <c r="F1223" s="87" t="s">
        <v>1184</v>
      </c>
      <c r="G1223" s="87" t="s">
        <v>62</v>
      </c>
      <c r="H1223" s="90" t="s">
        <v>5529</v>
      </c>
      <c r="I1223" s="90" t="s">
        <v>128</v>
      </c>
      <c r="J1223" s="87" t="s">
        <v>119</v>
      </c>
      <c r="K1223" s="87" t="s">
        <v>120</v>
      </c>
      <c r="L1223" s="90" t="s">
        <v>5530</v>
      </c>
      <c r="M1223" s="91" t="s">
        <v>5531</v>
      </c>
      <c r="N1223" s="90" t="s">
        <v>72</v>
      </c>
      <c r="O1223" s="90" t="str">
        <f t="shared" si="295"/>
        <v>Fontibón</v>
      </c>
      <c r="P1223" s="87" t="s">
        <v>420</v>
      </c>
      <c r="Q1223" s="87"/>
      <c r="R1223" s="87"/>
      <c r="S1223" s="87"/>
      <c r="T1223" s="87"/>
      <c r="U1223" s="87"/>
      <c r="V1223" s="90" t="str">
        <f t="shared" si="296"/>
        <v>Occidente</v>
      </c>
      <c r="W1223" s="87" t="s">
        <v>124</v>
      </c>
      <c r="X1223" s="87"/>
      <c r="Y1223" s="87"/>
      <c r="Z1223" s="87"/>
      <c r="AA1223" s="87"/>
      <c r="AB1223" s="87"/>
      <c r="AC1223" s="90" t="str">
        <f t="shared" si="297"/>
        <v>Fontibón</v>
      </c>
      <c r="AD1223" s="87" t="s">
        <v>420</v>
      </c>
      <c r="AE1223" s="87"/>
      <c r="AF1223" s="87"/>
      <c r="AG1223" s="87"/>
      <c r="AH1223" s="87"/>
      <c r="AI1223" s="87"/>
      <c r="AJ1223" s="87"/>
      <c r="AK1223" s="87"/>
      <c r="AL1223" s="87"/>
      <c r="AM1223" s="87"/>
      <c r="AN1223" s="90" t="s">
        <v>3815</v>
      </c>
      <c r="AO1223" s="90" t="s">
        <v>5532</v>
      </c>
      <c r="AP1223" s="82"/>
      <c r="AQ1223" s="87" t="s">
        <v>59</v>
      </c>
      <c r="AR1223" s="87" t="s">
        <v>80</v>
      </c>
      <c r="AS1223" s="82"/>
      <c r="AT1223" s="87">
        <v>1</v>
      </c>
      <c r="AU1223" s="87">
        <v>1</v>
      </c>
      <c r="AV1223" s="87">
        <f t="shared" si="300"/>
        <v>2</v>
      </c>
      <c r="AW1223" s="87" t="str">
        <f t="shared" si="299"/>
        <v>Contenidos adaptados</v>
      </c>
      <c r="AX1223" s="87" t="s">
        <v>212</v>
      </c>
      <c r="AY1223" s="87"/>
      <c r="AZ1223" s="87"/>
      <c r="BA1223" s="91" t="s">
        <v>5533</v>
      </c>
      <c r="BB1223" s="84"/>
      <c r="BC1223" s="85"/>
      <c r="BD1223" s="85"/>
    </row>
    <row r="1224" spans="1:56" s="86" customFormat="1" ht="42" customHeight="1">
      <c r="A1224" s="78">
        <v>1219</v>
      </c>
      <c r="B1224" s="90" t="s">
        <v>5534</v>
      </c>
      <c r="C1224" s="88">
        <v>45605</v>
      </c>
      <c r="D1224" s="89">
        <v>0.35416666666666669</v>
      </c>
      <c r="E1224" s="87" t="s">
        <v>58</v>
      </c>
      <c r="F1224" s="87" t="s">
        <v>1184</v>
      </c>
      <c r="G1224" s="87" t="s">
        <v>62</v>
      </c>
      <c r="H1224" s="90" t="s">
        <v>5418</v>
      </c>
      <c r="I1224" s="90" t="s">
        <v>118</v>
      </c>
      <c r="J1224" s="87" t="s">
        <v>119</v>
      </c>
      <c r="K1224" s="87" t="s">
        <v>120</v>
      </c>
      <c r="L1224" s="90" t="s">
        <v>5535</v>
      </c>
      <c r="M1224" s="91" t="s">
        <v>5536</v>
      </c>
      <c r="N1224" s="90" t="s">
        <v>1603</v>
      </c>
      <c r="O1224" s="90" t="str">
        <f t="shared" si="295"/>
        <v>Santa Fe</v>
      </c>
      <c r="P1224" s="87" t="s">
        <v>541</v>
      </c>
      <c r="Q1224" s="87"/>
      <c r="R1224" s="87"/>
      <c r="S1224" s="87"/>
      <c r="T1224" s="87"/>
      <c r="U1224" s="87"/>
      <c r="V1224" s="90" t="str">
        <f t="shared" si="296"/>
        <v>Centro Ampliado</v>
      </c>
      <c r="W1224" s="87" t="s">
        <v>415</v>
      </c>
      <c r="X1224" s="87"/>
      <c r="Y1224" s="87"/>
      <c r="Z1224" s="87"/>
      <c r="AA1224" s="87"/>
      <c r="AB1224" s="87"/>
      <c r="AC1224" s="90" t="str">
        <f t="shared" si="297"/>
        <v>Centro Histórico</v>
      </c>
      <c r="AD1224" s="87" t="s">
        <v>488</v>
      </c>
      <c r="AE1224" s="87"/>
      <c r="AF1224" s="87"/>
      <c r="AG1224" s="87"/>
      <c r="AH1224" s="87"/>
      <c r="AI1224" s="87"/>
      <c r="AJ1224" s="87"/>
      <c r="AK1224" s="87"/>
      <c r="AL1224" s="87"/>
      <c r="AM1224" s="87"/>
      <c r="AN1224" s="90" t="s">
        <v>5537</v>
      </c>
      <c r="AO1224" s="90" t="s">
        <v>5538</v>
      </c>
      <c r="AP1224" s="82"/>
      <c r="AQ1224" s="87" t="s">
        <v>59</v>
      </c>
      <c r="AR1224" s="87" t="s">
        <v>80</v>
      </c>
      <c r="AS1224" s="82"/>
      <c r="AT1224" s="87"/>
      <c r="AU1224" s="87"/>
      <c r="AV1224" s="87">
        <f t="shared" si="300"/>
        <v>0</v>
      </c>
      <c r="AW1224" s="87" t="str">
        <f t="shared" si="299"/>
        <v/>
      </c>
      <c r="AX1224" s="87"/>
      <c r="AY1224" s="87"/>
      <c r="AZ1224" s="87"/>
      <c r="BA1224" s="91"/>
      <c r="BB1224" s="84"/>
      <c r="BC1224" s="85"/>
      <c r="BD1224" s="85"/>
    </row>
    <row r="1225" spans="1:56" s="86" customFormat="1" ht="34.5" customHeight="1">
      <c r="A1225" s="87">
        <v>1220</v>
      </c>
      <c r="B1225" s="90" t="s">
        <v>5539</v>
      </c>
      <c r="C1225" s="88">
        <v>45605</v>
      </c>
      <c r="D1225" s="89">
        <v>0.375</v>
      </c>
      <c r="E1225" s="87" t="s">
        <v>58</v>
      </c>
      <c r="F1225" s="87" t="s">
        <v>1184</v>
      </c>
      <c r="G1225" s="87" t="s">
        <v>62</v>
      </c>
      <c r="H1225" s="90" t="s">
        <v>5540</v>
      </c>
      <c r="I1225" s="90" t="s">
        <v>128</v>
      </c>
      <c r="J1225" s="87" t="s">
        <v>173</v>
      </c>
      <c r="K1225" s="87"/>
      <c r="L1225" s="90" t="s">
        <v>1317</v>
      </c>
      <c r="M1225" s="91" t="s">
        <v>1317</v>
      </c>
      <c r="N1225" s="90" t="s">
        <v>1317</v>
      </c>
      <c r="O1225" s="90" t="str">
        <f t="shared" si="295"/>
        <v>Kennedy</v>
      </c>
      <c r="P1225" s="87" t="s">
        <v>473</v>
      </c>
      <c r="Q1225" s="87"/>
      <c r="R1225" s="87"/>
      <c r="S1225" s="87"/>
      <c r="T1225" s="87"/>
      <c r="U1225" s="87"/>
      <c r="V1225" s="90" t="str">
        <f t="shared" si="296"/>
        <v>Suroccidente</v>
      </c>
      <c r="W1225" s="87" t="s">
        <v>474</v>
      </c>
      <c r="X1225" s="87"/>
      <c r="Y1225" s="87"/>
      <c r="Z1225" s="87"/>
      <c r="AA1225" s="87"/>
      <c r="AB1225" s="87"/>
      <c r="AC1225" s="90" t="str">
        <f t="shared" si="297"/>
        <v>Kennedy</v>
      </c>
      <c r="AD1225" s="87" t="s">
        <v>473</v>
      </c>
      <c r="AE1225" s="87"/>
      <c r="AF1225" s="87"/>
      <c r="AG1225" s="87"/>
      <c r="AH1225" s="87"/>
      <c r="AI1225" s="87"/>
      <c r="AJ1225" s="87"/>
      <c r="AK1225" s="87"/>
      <c r="AL1225" s="87"/>
      <c r="AM1225" s="87"/>
      <c r="AN1225" s="79" t="s">
        <v>5541</v>
      </c>
      <c r="AO1225" s="90" t="s">
        <v>5542</v>
      </c>
      <c r="AP1225" s="82"/>
      <c r="AQ1225" s="87" t="s">
        <v>59</v>
      </c>
      <c r="AR1225" s="87" t="s">
        <v>80</v>
      </c>
      <c r="AS1225" s="82"/>
      <c r="AT1225" s="87"/>
      <c r="AU1225" s="87"/>
      <c r="AV1225" s="87">
        <v>0</v>
      </c>
      <c r="AW1225" s="87" t="s">
        <v>184</v>
      </c>
      <c r="AX1225" s="87"/>
      <c r="AY1225" s="87"/>
      <c r="AZ1225" s="87"/>
      <c r="BA1225" s="91"/>
      <c r="BB1225" s="84"/>
      <c r="BC1225" s="85"/>
      <c r="BD1225" s="85"/>
    </row>
    <row r="1226" spans="1:56" s="86" customFormat="1" ht="34.5" customHeight="1">
      <c r="A1226" s="78">
        <v>1221</v>
      </c>
      <c r="B1226" s="90" t="s">
        <v>5543</v>
      </c>
      <c r="C1226" s="88">
        <v>45605</v>
      </c>
      <c r="D1226" s="89">
        <v>0.375</v>
      </c>
      <c r="E1226" s="87" t="s">
        <v>58</v>
      </c>
      <c r="F1226" s="87" t="s">
        <v>1184</v>
      </c>
      <c r="G1226" s="87" t="s">
        <v>62</v>
      </c>
      <c r="H1226" s="90" t="s">
        <v>5544</v>
      </c>
      <c r="I1226" s="90" t="s">
        <v>128</v>
      </c>
      <c r="J1226" s="87" t="s">
        <v>816</v>
      </c>
      <c r="K1226" s="87"/>
      <c r="L1226" s="90" t="s">
        <v>5545</v>
      </c>
      <c r="M1226" s="91" t="s">
        <v>5546</v>
      </c>
      <c r="N1226" s="90" t="s">
        <v>1695</v>
      </c>
      <c r="O1226" s="90" t="str">
        <f t="shared" ref="O1226:O1229" si="301">_xlfn.TEXTJOIN(", ",TRUE,$P1226:$T1226)</f>
        <v>Fontibón</v>
      </c>
      <c r="P1226" s="87" t="s">
        <v>420</v>
      </c>
      <c r="Q1226" s="87"/>
      <c r="R1226" s="87"/>
      <c r="S1226" s="87"/>
      <c r="T1226" s="87"/>
      <c r="U1226" s="87"/>
      <c r="V1226" s="90" t="str">
        <f t="shared" ref="V1226:V1229" si="302">_xlfn.TEXTJOIN(", ",TRUE,$W1226:$AB1226)</f>
        <v>Occidente</v>
      </c>
      <c r="W1226" s="87" t="s">
        <v>124</v>
      </c>
      <c r="X1226" s="87"/>
      <c r="Y1226" s="87"/>
      <c r="Z1226" s="87"/>
      <c r="AA1226" s="87"/>
      <c r="AB1226" s="87"/>
      <c r="AC1226" s="90" t="str">
        <f t="shared" ref="AC1226:AC1229" si="303">_xlfn.TEXTJOIN(", ",TRUE,$AD1226:$AM1226)</f>
        <v>Fontibón</v>
      </c>
      <c r="AD1226" s="87" t="s">
        <v>420</v>
      </c>
      <c r="AE1226" s="87"/>
      <c r="AF1226" s="87"/>
      <c r="AG1226" s="87"/>
      <c r="AH1226" s="87"/>
      <c r="AI1226" s="87"/>
      <c r="AJ1226" s="87"/>
      <c r="AK1226" s="87"/>
      <c r="AL1226" s="87"/>
      <c r="AM1226" s="87"/>
      <c r="AN1226" s="90" t="s">
        <v>80</v>
      </c>
      <c r="AO1226" s="90" t="s">
        <v>5547</v>
      </c>
      <c r="AP1226" s="82"/>
      <c r="AQ1226" s="87" t="s">
        <v>59</v>
      </c>
      <c r="AR1226" s="87" t="s">
        <v>80</v>
      </c>
      <c r="AS1226" s="82"/>
      <c r="AT1226" s="87"/>
      <c r="AU1226" s="87"/>
      <c r="AV1226" s="87">
        <f t="shared" ref="AV1226:AV1229" si="304">AT1226+AU1226</f>
        <v>0</v>
      </c>
      <c r="AW1226" s="87" t="str">
        <f t="shared" ref="AW1226:AW1229" si="305">_xlfn.TEXTJOIN(", ",TRUE,$AX1226:$AZ1226)</f>
        <v/>
      </c>
      <c r="AX1226" s="87"/>
      <c r="AY1226" s="87"/>
      <c r="AZ1226" s="87"/>
      <c r="BA1226" s="91"/>
      <c r="BB1226" s="84"/>
      <c r="BC1226" s="85"/>
      <c r="BD1226" s="85"/>
    </row>
    <row r="1227" spans="1:56" s="86" customFormat="1" ht="34.5" customHeight="1">
      <c r="A1227" s="87">
        <v>1222</v>
      </c>
      <c r="B1227" s="90" t="s">
        <v>5548</v>
      </c>
      <c r="C1227" s="88">
        <v>45605</v>
      </c>
      <c r="D1227" s="89">
        <v>0.39583333333333331</v>
      </c>
      <c r="E1227" s="87" t="s">
        <v>58</v>
      </c>
      <c r="F1227" s="87" t="s">
        <v>1184</v>
      </c>
      <c r="G1227" s="87" t="s">
        <v>62</v>
      </c>
      <c r="H1227" s="90" t="s">
        <v>5549</v>
      </c>
      <c r="I1227" s="90" t="s">
        <v>128</v>
      </c>
      <c r="J1227" s="87" t="s">
        <v>119</v>
      </c>
      <c r="K1227" s="87" t="s">
        <v>120</v>
      </c>
      <c r="L1227" s="90" t="s">
        <v>5550</v>
      </c>
      <c r="M1227" s="91" t="s">
        <v>5551</v>
      </c>
      <c r="N1227" s="90" t="s">
        <v>2860</v>
      </c>
      <c r="O1227" s="90" t="str">
        <f>_xlfn.TEXTJOIN(", ",TRUE,$P1227:$T1227)</f>
        <v>Suba</v>
      </c>
      <c r="P1227" s="87" t="s">
        <v>394</v>
      </c>
      <c r="Q1227" s="87"/>
      <c r="R1227" s="87"/>
      <c r="S1227" s="87"/>
      <c r="T1227" s="87"/>
      <c r="U1227" s="87"/>
      <c r="V1227" s="90" t="str">
        <f>_xlfn.TEXTJOIN(", ",TRUE,$W1227:$AB1227)</f>
        <v>Noroccidente</v>
      </c>
      <c r="W1227" s="87" t="s">
        <v>395</v>
      </c>
      <c r="X1227" s="87"/>
      <c r="Y1227" s="87"/>
      <c r="Z1227" s="87"/>
      <c r="AA1227" s="87"/>
      <c r="AB1227" s="87"/>
      <c r="AC1227" s="90" t="str">
        <f>_xlfn.TEXTJOIN(", ",TRUE,$AD1227:$AM1227)</f>
        <v>Suba</v>
      </c>
      <c r="AD1227" s="87" t="s">
        <v>394</v>
      </c>
      <c r="AE1227" s="87"/>
      <c r="AF1227" s="87"/>
      <c r="AG1227" s="87"/>
      <c r="AH1227" s="87"/>
      <c r="AI1227" s="87"/>
      <c r="AJ1227" s="87"/>
      <c r="AK1227" s="87"/>
      <c r="AL1227" s="87"/>
      <c r="AM1227" s="87"/>
      <c r="AN1227" s="90" t="s">
        <v>5552</v>
      </c>
      <c r="AO1227" s="90" t="s">
        <v>5553</v>
      </c>
      <c r="AP1227" s="82"/>
      <c r="AQ1227" s="87" t="s">
        <v>59</v>
      </c>
      <c r="AR1227" s="87" t="s">
        <v>80</v>
      </c>
      <c r="AS1227" s="82"/>
      <c r="AT1227" s="87"/>
      <c r="AU1227" s="87"/>
      <c r="AV1227" s="87">
        <f>AT1227+AU1227</f>
        <v>0</v>
      </c>
      <c r="AW1227" s="87" t="str">
        <f>_xlfn.TEXTJOIN(", ",TRUE,$AX1227:$AZ1227)</f>
        <v/>
      </c>
      <c r="AX1227" s="87"/>
      <c r="AY1227" s="87"/>
      <c r="AZ1227" s="87"/>
      <c r="BA1227" s="91"/>
      <c r="BB1227" s="84"/>
      <c r="BC1227" s="85"/>
      <c r="BD1227" s="85"/>
    </row>
    <row r="1228" spans="1:56" s="86" customFormat="1" ht="34.5" customHeight="1">
      <c r="A1228" s="78">
        <v>1223</v>
      </c>
      <c r="B1228" s="90" t="s">
        <v>5554</v>
      </c>
      <c r="C1228" s="88">
        <v>45605</v>
      </c>
      <c r="D1228" s="89">
        <v>0.41666666666666669</v>
      </c>
      <c r="E1228" s="87" t="s">
        <v>58</v>
      </c>
      <c r="F1228" s="87" t="s">
        <v>1184</v>
      </c>
      <c r="G1228" s="87" t="s">
        <v>62</v>
      </c>
      <c r="H1228" s="90" t="s">
        <v>5476</v>
      </c>
      <c r="I1228" s="90" t="s">
        <v>128</v>
      </c>
      <c r="J1228" s="87" t="s">
        <v>173</v>
      </c>
      <c r="K1228" s="87"/>
      <c r="L1228" s="90" t="s">
        <v>5555</v>
      </c>
      <c r="M1228" s="91" t="s">
        <v>5556</v>
      </c>
      <c r="N1228" s="90" t="s">
        <v>5557</v>
      </c>
      <c r="O1228" s="90" t="str">
        <f t="shared" si="301"/>
        <v>Engativá</v>
      </c>
      <c r="P1228" s="87" t="s">
        <v>123</v>
      </c>
      <c r="Q1228" s="87"/>
      <c r="R1228" s="87"/>
      <c r="S1228" s="87"/>
      <c r="T1228" s="87"/>
      <c r="U1228" s="87"/>
      <c r="V1228" s="90" t="str">
        <f t="shared" si="302"/>
        <v>Occidente</v>
      </c>
      <c r="W1228" s="87" t="s">
        <v>124</v>
      </c>
      <c r="X1228" s="87"/>
      <c r="Y1228" s="87"/>
      <c r="Z1228" s="87"/>
      <c r="AA1228" s="87"/>
      <c r="AB1228" s="87"/>
      <c r="AC1228" s="90" t="str">
        <f t="shared" si="303"/>
        <v>Engativá</v>
      </c>
      <c r="AD1228" s="87" t="s">
        <v>123</v>
      </c>
      <c r="AE1228" s="87"/>
      <c r="AF1228" s="87"/>
      <c r="AG1228" s="87"/>
      <c r="AH1228" s="87"/>
      <c r="AI1228" s="87"/>
      <c r="AJ1228" s="87"/>
      <c r="AK1228" s="87"/>
      <c r="AL1228" s="87"/>
      <c r="AM1228" s="87"/>
      <c r="AN1228" s="90" t="s">
        <v>5558</v>
      </c>
      <c r="AO1228" s="90" t="s">
        <v>5559</v>
      </c>
      <c r="AP1228" s="82"/>
      <c r="AQ1228" s="87" t="s">
        <v>59</v>
      </c>
      <c r="AR1228" s="87" t="s">
        <v>80</v>
      </c>
      <c r="AS1228" s="82"/>
      <c r="AT1228" s="87">
        <v>10</v>
      </c>
      <c r="AU1228" s="87">
        <v>2</v>
      </c>
      <c r="AV1228" s="87">
        <f t="shared" ref="AV1228" si="306">AT1228+AU1228</f>
        <v>12</v>
      </c>
      <c r="AW1228" s="87" t="str">
        <f t="shared" si="305"/>
        <v>Accesibilidad Universal</v>
      </c>
      <c r="AX1228" s="87" t="s">
        <v>246</v>
      </c>
      <c r="AY1228" s="87"/>
      <c r="AZ1228" s="87"/>
      <c r="BA1228" s="91" t="s">
        <v>5560</v>
      </c>
      <c r="BB1228" s="84"/>
      <c r="BC1228" s="85"/>
      <c r="BD1228" s="85"/>
    </row>
    <row r="1229" spans="1:56" s="86" customFormat="1" ht="34.5" customHeight="1">
      <c r="A1229" s="87">
        <v>1224</v>
      </c>
      <c r="B1229" s="90" t="s">
        <v>5561</v>
      </c>
      <c r="C1229" s="88">
        <v>45605</v>
      </c>
      <c r="D1229" s="89">
        <v>0.45833333333333331</v>
      </c>
      <c r="E1229" s="87" t="s">
        <v>58</v>
      </c>
      <c r="F1229" s="87" t="s">
        <v>1184</v>
      </c>
      <c r="G1229" s="87" t="s">
        <v>62</v>
      </c>
      <c r="H1229" s="90" t="s">
        <v>5562</v>
      </c>
      <c r="I1229" s="90" t="s">
        <v>128</v>
      </c>
      <c r="J1229" s="87" t="s">
        <v>119</v>
      </c>
      <c r="K1229" s="87" t="s">
        <v>120</v>
      </c>
      <c r="L1229" s="90" t="s">
        <v>1317</v>
      </c>
      <c r="M1229" s="91" t="s">
        <v>1317</v>
      </c>
      <c r="N1229" s="90" t="s">
        <v>1317</v>
      </c>
      <c r="O1229" s="90" t="str">
        <f t="shared" si="301"/>
        <v>Barrios Unidos</v>
      </c>
      <c r="P1229" s="87" t="s">
        <v>686</v>
      </c>
      <c r="Q1229" s="87"/>
      <c r="R1229" s="87"/>
      <c r="S1229" s="87"/>
      <c r="T1229" s="87"/>
      <c r="U1229" s="87"/>
      <c r="V1229" s="90" t="str">
        <f t="shared" si="302"/>
        <v>Centro Ampliado</v>
      </c>
      <c r="W1229" s="87" t="s">
        <v>415</v>
      </c>
      <c r="X1229" s="87"/>
      <c r="Y1229" s="87"/>
      <c r="Z1229" s="87"/>
      <c r="AA1229" s="87"/>
      <c r="AB1229" s="87"/>
      <c r="AC1229" s="90" t="str">
        <f t="shared" si="303"/>
        <v>Barrios Unidos</v>
      </c>
      <c r="AD1229" s="87" t="s">
        <v>686</v>
      </c>
      <c r="AE1229" s="87"/>
      <c r="AF1229" s="87"/>
      <c r="AG1229" s="87"/>
      <c r="AH1229" s="87"/>
      <c r="AI1229" s="87"/>
      <c r="AJ1229" s="87"/>
      <c r="AK1229" s="87"/>
      <c r="AL1229" s="87"/>
      <c r="AM1229" s="87"/>
      <c r="AN1229" s="90" t="s">
        <v>5563</v>
      </c>
      <c r="AO1229" s="90" t="s">
        <v>5564</v>
      </c>
      <c r="AP1229" s="82"/>
      <c r="AQ1229" s="87" t="s">
        <v>59</v>
      </c>
      <c r="AR1229" s="87" t="s">
        <v>80</v>
      </c>
      <c r="AS1229" s="82"/>
      <c r="AT1229" s="87">
        <v>5</v>
      </c>
      <c r="AU1229" s="87">
        <v>3</v>
      </c>
      <c r="AV1229" s="87">
        <f t="shared" si="304"/>
        <v>8</v>
      </c>
      <c r="AW1229" s="87" t="str">
        <f t="shared" si="305"/>
        <v>Ninguna</v>
      </c>
      <c r="AX1229" s="87" t="s">
        <v>75</v>
      </c>
      <c r="AY1229" s="87"/>
      <c r="AZ1229" s="87"/>
      <c r="BA1229" s="91" t="s">
        <v>5565</v>
      </c>
      <c r="BB1229" s="84"/>
      <c r="BC1229" s="85"/>
      <c r="BD1229" s="85"/>
    </row>
    <row r="1230" spans="1:56" s="86" customFormat="1" ht="34.5" customHeight="1">
      <c r="A1230" s="78">
        <v>1225</v>
      </c>
      <c r="B1230" s="90" t="s">
        <v>5566</v>
      </c>
      <c r="C1230" s="88">
        <v>45605</v>
      </c>
      <c r="D1230" s="89">
        <v>0.72916666666666663</v>
      </c>
      <c r="E1230" s="87" t="s">
        <v>58</v>
      </c>
      <c r="F1230" s="87" t="s">
        <v>1184</v>
      </c>
      <c r="G1230" s="87" t="s">
        <v>62</v>
      </c>
      <c r="H1230" s="90" t="s">
        <v>5567</v>
      </c>
      <c r="I1230" s="90" t="s">
        <v>128</v>
      </c>
      <c r="J1230" s="87" t="s">
        <v>119</v>
      </c>
      <c r="K1230" s="87" t="s">
        <v>120</v>
      </c>
      <c r="L1230" s="90" t="s">
        <v>5568</v>
      </c>
      <c r="M1230" s="91" t="s">
        <v>5569</v>
      </c>
      <c r="N1230" s="90" t="s">
        <v>5570</v>
      </c>
      <c r="O1230" s="90" t="str">
        <f>_xlfn.TEXTJOIN(", ",TRUE,$P1230:$T1230)</f>
        <v>Engativá</v>
      </c>
      <c r="P1230" s="87" t="s">
        <v>123</v>
      </c>
      <c r="Q1230" s="87"/>
      <c r="R1230" s="87"/>
      <c r="S1230" s="87"/>
      <c r="T1230" s="87"/>
      <c r="U1230" s="87"/>
      <c r="V1230" s="90" t="str">
        <f>_xlfn.TEXTJOIN(", ",TRUE,$W1230:$AB1230)</f>
        <v>Occidente</v>
      </c>
      <c r="W1230" s="87" t="s">
        <v>124</v>
      </c>
      <c r="X1230" s="87"/>
      <c r="Y1230" s="87"/>
      <c r="Z1230" s="87"/>
      <c r="AA1230" s="87"/>
      <c r="AB1230" s="87"/>
      <c r="AC1230" s="90" t="str">
        <f>_xlfn.TEXTJOIN(", ",TRUE,$AD1230:$AM1230)</f>
        <v>Engativá</v>
      </c>
      <c r="AD1230" s="87" t="s">
        <v>123</v>
      </c>
      <c r="AE1230" s="87"/>
      <c r="AF1230" s="87"/>
      <c r="AG1230" s="87"/>
      <c r="AH1230" s="87"/>
      <c r="AI1230" s="87"/>
      <c r="AJ1230" s="87"/>
      <c r="AK1230" s="87"/>
      <c r="AL1230" s="87"/>
      <c r="AM1230" s="87"/>
      <c r="AN1230" s="90" t="s">
        <v>5571</v>
      </c>
      <c r="AO1230" s="90" t="s">
        <v>5572</v>
      </c>
      <c r="AP1230" s="82"/>
      <c r="AQ1230" s="87" t="s">
        <v>59</v>
      </c>
      <c r="AR1230" s="87" t="s">
        <v>80</v>
      </c>
      <c r="AS1230" s="82"/>
      <c r="AT1230" s="87"/>
      <c r="AU1230" s="87"/>
      <c r="AV1230" s="87">
        <f>AT1230+AU1230</f>
        <v>0</v>
      </c>
      <c r="AW1230" s="87" t="str">
        <f>_xlfn.TEXTJOIN(", ",TRUE,$AX1230:$AZ1230)</f>
        <v/>
      </c>
      <c r="AX1230" s="87"/>
      <c r="AY1230" s="87"/>
      <c r="AZ1230" s="87"/>
      <c r="BA1230" s="91"/>
      <c r="BB1230" s="84"/>
      <c r="BC1230" s="85"/>
      <c r="BD1230" s="85"/>
    </row>
    <row r="1231" spans="1:56" s="86" customFormat="1" ht="39" customHeight="1">
      <c r="A1231" s="87">
        <v>1226</v>
      </c>
      <c r="B1231" s="90" t="s">
        <v>5573</v>
      </c>
      <c r="C1231" s="88">
        <v>45606</v>
      </c>
      <c r="D1231" s="89">
        <v>0.39583333333333331</v>
      </c>
      <c r="E1231" s="87" t="s">
        <v>58</v>
      </c>
      <c r="F1231" s="87" t="s">
        <v>149</v>
      </c>
      <c r="G1231" s="87" t="s">
        <v>62</v>
      </c>
      <c r="H1231" s="90" t="s">
        <v>5574</v>
      </c>
      <c r="I1231" s="90" t="s">
        <v>118</v>
      </c>
      <c r="J1231" s="87" t="s">
        <v>70</v>
      </c>
      <c r="K1231" s="87" t="s">
        <v>71</v>
      </c>
      <c r="L1231" s="90" t="s">
        <v>5575</v>
      </c>
      <c r="M1231" s="91" t="s">
        <v>5576</v>
      </c>
      <c r="N1231" s="90" t="s">
        <v>5577</v>
      </c>
      <c r="O1231" s="90" t="str">
        <f>_xlfn.TEXTJOIN(", ",TRUE,$P1231:$T1231)</f>
        <v>Ciudad Bolívar</v>
      </c>
      <c r="P1231" s="87" t="s">
        <v>107</v>
      </c>
      <c r="Q1231" s="87"/>
      <c r="R1231" s="87"/>
      <c r="S1231" s="87"/>
      <c r="T1231" s="87"/>
      <c r="U1231" s="87"/>
      <c r="V1231" s="90" t="str">
        <f>_xlfn.TEXTJOIN(", ",TRUE,$W1231:$AB1231)</f>
        <v>Suroriente</v>
      </c>
      <c r="W1231" s="87" t="s">
        <v>108</v>
      </c>
      <c r="X1231" s="87"/>
      <c r="Y1231" s="87"/>
      <c r="Z1231" s="87"/>
      <c r="AA1231" s="87"/>
      <c r="AB1231" s="87"/>
      <c r="AC1231" s="90" t="str">
        <f>_xlfn.TEXTJOIN(", ",TRUE,$AD1231:$AM1231)</f>
        <v>Arborizadora</v>
      </c>
      <c r="AD1231" s="87" t="s">
        <v>110</v>
      </c>
      <c r="AE1231" s="87"/>
      <c r="AF1231" s="87"/>
      <c r="AG1231" s="87"/>
      <c r="AH1231" s="87"/>
      <c r="AI1231" s="87"/>
      <c r="AJ1231" s="87"/>
      <c r="AK1231" s="87"/>
      <c r="AL1231" s="87"/>
      <c r="AM1231" s="87"/>
      <c r="AN1231" s="79" t="s">
        <v>5578</v>
      </c>
      <c r="AO1231" s="90" t="s">
        <v>5579</v>
      </c>
      <c r="AP1231" s="82"/>
      <c r="AQ1231" s="87" t="s">
        <v>59</v>
      </c>
      <c r="AR1231" s="87" t="s">
        <v>80</v>
      </c>
      <c r="AS1231" s="82"/>
      <c r="AT1231" s="87">
        <v>5</v>
      </c>
      <c r="AU1231" s="87">
        <v>3</v>
      </c>
      <c r="AV1231" s="87">
        <f>AT1231+AU1231</f>
        <v>8</v>
      </c>
      <c r="AW1231" s="87" t="str">
        <f>_xlfn.TEXTJOIN(", ",TRUE,$AX1231:$AZ1231)</f>
        <v>Ninguna</v>
      </c>
      <c r="AX1231" s="87" t="s">
        <v>75</v>
      </c>
      <c r="AY1231" s="87"/>
      <c r="AZ1231" s="87"/>
      <c r="BA1231" s="91" t="s">
        <v>5580</v>
      </c>
      <c r="BB1231" s="84"/>
      <c r="BC1231" s="85"/>
      <c r="BD1231" s="85"/>
    </row>
    <row r="1232" spans="1:56" s="86" customFormat="1" ht="39" customHeight="1">
      <c r="A1232" s="78">
        <v>1227</v>
      </c>
      <c r="B1232" s="90" t="s">
        <v>5581</v>
      </c>
      <c r="C1232" s="88">
        <v>45606</v>
      </c>
      <c r="D1232" s="89">
        <v>0.39583333333333331</v>
      </c>
      <c r="E1232" s="87" t="s">
        <v>58</v>
      </c>
      <c r="F1232" s="87" t="s">
        <v>1184</v>
      </c>
      <c r="G1232" s="87" t="s">
        <v>62</v>
      </c>
      <c r="H1232" s="90" t="s">
        <v>5496</v>
      </c>
      <c r="I1232" s="90" t="s">
        <v>128</v>
      </c>
      <c r="J1232" s="87" t="s">
        <v>119</v>
      </c>
      <c r="K1232" s="87" t="s">
        <v>1322</v>
      </c>
      <c r="L1232" s="90" t="s">
        <v>5582</v>
      </c>
      <c r="M1232" s="91" t="s">
        <v>5583</v>
      </c>
      <c r="N1232" s="90" t="s">
        <v>5584</v>
      </c>
      <c r="O1232" s="90" t="str">
        <f>_xlfn.TEXTJOIN(", ",TRUE,$P1232:$T1232)</f>
        <v>Puente Aranda</v>
      </c>
      <c r="P1232" s="87" t="s">
        <v>823</v>
      </c>
      <c r="Q1232" s="87"/>
      <c r="R1232" s="87"/>
      <c r="S1232" s="87"/>
      <c r="T1232" s="87"/>
      <c r="U1232" s="87"/>
      <c r="V1232" s="90" t="str">
        <f>_xlfn.TEXTJOIN(", ",TRUE,$W1232:$AB1232)</f>
        <v>Centro Ampliado</v>
      </c>
      <c r="W1232" s="87" t="s">
        <v>415</v>
      </c>
      <c r="X1232" s="87"/>
      <c r="Y1232" s="87"/>
      <c r="Z1232" s="87"/>
      <c r="AA1232" s="87"/>
      <c r="AB1232" s="87"/>
      <c r="AC1232" s="90" t="str">
        <f>_xlfn.TEXTJOIN(", ",TRUE,$AD1232:$AM1232)</f>
        <v>Puente Aranda</v>
      </c>
      <c r="AD1232" s="87" t="s">
        <v>823</v>
      </c>
      <c r="AE1232" s="87"/>
      <c r="AF1232" s="87"/>
      <c r="AG1232" s="87"/>
      <c r="AH1232" s="87"/>
      <c r="AI1232" s="87"/>
      <c r="AJ1232" s="87"/>
      <c r="AK1232" s="87"/>
      <c r="AL1232" s="87"/>
      <c r="AM1232" s="87"/>
      <c r="AN1232" s="90" t="s">
        <v>5585</v>
      </c>
      <c r="AO1232" s="90" t="s">
        <v>5586</v>
      </c>
      <c r="AP1232" s="82"/>
      <c r="AQ1232" s="87" t="s">
        <v>59</v>
      </c>
      <c r="AR1232" s="87" t="s">
        <v>80</v>
      </c>
      <c r="AS1232" s="82"/>
      <c r="AT1232" s="87"/>
      <c r="AU1232" s="87"/>
      <c r="AV1232" s="87">
        <f>AT1232+AU1232</f>
        <v>0</v>
      </c>
      <c r="AW1232" s="87" t="str">
        <f>_xlfn.TEXTJOIN(", ",TRUE,$AX1232:$AZ1232)</f>
        <v/>
      </c>
      <c r="AX1232" s="87"/>
      <c r="AY1232" s="87"/>
      <c r="AZ1232" s="87"/>
      <c r="BA1232" s="91"/>
      <c r="BB1232" s="84"/>
      <c r="BC1232" s="85"/>
      <c r="BD1232" s="85"/>
    </row>
    <row r="1233" spans="1:56" s="86" customFormat="1" ht="39" customHeight="1">
      <c r="A1233" s="87">
        <v>1228</v>
      </c>
      <c r="B1233" s="90" t="s">
        <v>5587</v>
      </c>
      <c r="C1233" s="88">
        <v>45606</v>
      </c>
      <c r="D1233" s="89">
        <v>0.41666666666666669</v>
      </c>
      <c r="E1233" s="87" t="s">
        <v>58</v>
      </c>
      <c r="F1233" s="87" t="s">
        <v>1184</v>
      </c>
      <c r="G1233" s="87" t="s">
        <v>62</v>
      </c>
      <c r="H1233" s="90" t="s">
        <v>5588</v>
      </c>
      <c r="I1233" s="90" t="s">
        <v>128</v>
      </c>
      <c r="J1233" s="87" t="s">
        <v>119</v>
      </c>
      <c r="K1233" s="87" t="s">
        <v>120</v>
      </c>
      <c r="L1233" s="90" t="s">
        <v>5589</v>
      </c>
      <c r="M1233" s="91" t="s">
        <v>5590</v>
      </c>
      <c r="N1233" s="90" t="s">
        <v>5591</v>
      </c>
      <c r="O1233" s="90" t="str">
        <f>_xlfn.TEXTJOIN(", ",TRUE,$P1233:$T1233)</f>
        <v>Usaquén</v>
      </c>
      <c r="P1233" s="87" t="s">
        <v>428</v>
      </c>
      <c r="Q1233" s="87"/>
      <c r="R1233" s="87"/>
      <c r="S1233" s="87"/>
      <c r="T1233" s="87"/>
      <c r="U1233" s="87"/>
      <c r="V1233" s="90" t="str">
        <f>_xlfn.TEXTJOIN(", ",TRUE,$W1233:$AB1233)</f>
        <v>Norte</v>
      </c>
      <c r="W1233" s="87" t="s">
        <v>429</v>
      </c>
      <c r="X1233" s="87"/>
      <c r="Y1233" s="87"/>
      <c r="Z1233" s="87"/>
      <c r="AA1233" s="87"/>
      <c r="AB1233" s="87"/>
      <c r="AC1233" s="90" t="str">
        <f>_xlfn.TEXTJOIN(", ",TRUE,$AD1233:$AM1233)</f>
        <v>Usaquén</v>
      </c>
      <c r="AD1233" s="87" t="s">
        <v>428</v>
      </c>
      <c r="AE1233" s="87"/>
      <c r="AF1233" s="87"/>
      <c r="AG1233" s="87"/>
      <c r="AH1233" s="87"/>
      <c r="AI1233" s="87"/>
      <c r="AJ1233" s="87"/>
      <c r="AK1233" s="87"/>
      <c r="AL1233" s="87"/>
      <c r="AM1233" s="87"/>
      <c r="AN1233" s="90" t="s">
        <v>80</v>
      </c>
      <c r="AO1233" s="90" t="s">
        <v>5592</v>
      </c>
      <c r="AP1233" s="82"/>
      <c r="AQ1233" s="87" t="s">
        <v>59</v>
      </c>
      <c r="AR1233" s="87" t="s">
        <v>80</v>
      </c>
      <c r="AS1233" s="82"/>
      <c r="AT1233" s="87"/>
      <c r="AU1233" s="87"/>
      <c r="AV1233" s="87">
        <f>AT1233+AU1233</f>
        <v>0</v>
      </c>
      <c r="AW1233" s="87" t="str">
        <f>_xlfn.TEXTJOIN(", ",TRUE,$AX1233:$AZ1233)</f>
        <v/>
      </c>
      <c r="AX1233" s="87"/>
      <c r="AY1233" s="87"/>
      <c r="AZ1233" s="87"/>
      <c r="BA1233" s="91"/>
      <c r="BB1233" s="84"/>
      <c r="BC1233" s="85"/>
      <c r="BD1233" s="85"/>
    </row>
    <row r="1234" spans="1:56" s="86" customFormat="1" ht="39" customHeight="1">
      <c r="A1234" s="78">
        <v>1229</v>
      </c>
      <c r="B1234" s="90" t="s">
        <v>5593</v>
      </c>
      <c r="C1234" s="88">
        <v>45606</v>
      </c>
      <c r="D1234" s="89">
        <v>0.41666666666666669</v>
      </c>
      <c r="E1234" s="87" t="s">
        <v>58</v>
      </c>
      <c r="F1234" s="87" t="s">
        <v>1184</v>
      </c>
      <c r="G1234" s="87" t="s">
        <v>62</v>
      </c>
      <c r="H1234" s="90" t="s">
        <v>5594</v>
      </c>
      <c r="I1234" s="90" t="s">
        <v>128</v>
      </c>
      <c r="J1234" s="87" t="s">
        <v>816</v>
      </c>
      <c r="K1234" s="87"/>
      <c r="L1234" s="90" t="s">
        <v>5595</v>
      </c>
      <c r="M1234" s="91" t="s">
        <v>5596</v>
      </c>
      <c r="N1234" s="90" t="s">
        <v>3042</v>
      </c>
      <c r="O1234" s="90" t="str">
        <f>_xlfn.TEXTJOIN(", ",TRUE,$P1234:$T1234)</f>
        <v>Suba</v>
      </c>
      <c r="P1234" s="87" t="s">
        <v>394</v>
      </c>
      <c r="Q1234" s="87"/>
      <c r="R1234" s="87"/>
      <c r="S1234" s="87"/>
      <c r="T1234" s="87"/>
      <c r="U1234" s="87"/>
      <c r="V1234" s="90" t="str">
        <f>_xlfn.TEXTJOIN(", ",TRUE,$W1234:$AB1234)</f>
        <v>Noroccidente</v>
      </c>
      <c r="W1234" s="87" t="s">
        <v>395</v>
      </c>
      <c r="X1234" s="87"/>
      <c r="Y1234" s="87"/>
      <c r="Z1234" s="87"/>
      <c r="AA1234" s="87"/>
      <c r="AB1234" s="87"/>
      <c r="AC1234" s="90" t="str">
        <f>_xlfn.TEXTJOIN(", ",TRUE,$AD1234:$AM1234)</f>
        <v>Tibabuyes</v>
      </c>
      <c r="AD1234" s="87" t="s">
        <v>924</v>
      </c>
      <c r="AE1234" s="87"/>
      <c r="AF1234" s="87"/>
      <c r="AG1234" s="87"/>
      <c r="AH1234" s="87"/>
      <c r="AI1234" s="87"/>
      <c r="AJ1234" s="87"/>
      <c r="AK1234" s="87"/>
      <c r="AL1234" s="87"/>
      <c r="AM1234" s="87"/>
      <c r="AN1234" s="90" t="s">
        <v>3185</v>
      </c>
      <c r="AO1234" s="90" t="s">
        <v>5597</v>
      </c>
      <c r="AP1234" s="82"/>
      <c r="AQ1234" s="87" t="s">
        <v>59</v>
      </c>
      <c r="AR1234" s="87" t="s">
        <v>80</v>
      </c>
      <c r="AS1234" s="82"/>
      <c r="AT1234" s="87"/>
      <c r="AU1234" s="87"/>
      <c r="AV1234" s="87">
        <v>0</v>
      </c>
      <c r="AW1234" s="87" t="s">
        <v>184</v>
      </c>
      <c r="AX1234" s="87"/>
      <c r="AY1234" s="87"/>
      <c r="AZ1234" s="87"/>
      <c r="BA1234" s="91"/>
      <c r="BB1234" s="84"/>
      <c r="BC1234" s="85"/>
      <c r="BD1234" s="85"/>
    </row>
    <row r="1235" spans="1:56" s="86" customFormat="1" ht="39" customHeight="1">
      <c r="A1235" s="87">
        <v>1230</v>
      </c>
      <c r="B1235" s="90" t="s">
        <v>5598</v>
      </c>
      <c r="C1235" s="88">
        <v>45606</v>
      </c>
      <c r="D1235" s="89">
        <v>0.41666666666666669</v>
      </c>
      <c r="E1235" s="87" t="s">
        <v>58</v>
      </c>
      <c r="F1235" s="87" t="s">
        <v>1184</v>
      </c>
      <c r="G1235" s="87" t="s">
        <v>62</v>
      </c>
      <c r="H1235" s="90" t="s">
        <v>5599</v>
      </c>
      <c r="I1235" s="90" t="s">
        <v>128</v>
      </c>
      <c r="J1235" s="87" t="s">
        <v>173</v>
      </c>
      <c r="K1235" s="87"/>
      <c r="L1235" s="90" t="s">
        <v>5600</v>
      </c>
      <c r="M1235" s="91" t="s">
        <v>5601</v>
      </c>
      <c r="N1235" s="90" t="s">
        <v>5602</v>
      </c>
      <c r="O1235" s="90" t="str">
        <f t="shared" ref="O1235:O1236" si="307">_xlfn.TEXTJOIN(", ",TRUE,$P1235:$T1235)</f>
        <v>Rafael Uribe Uribe</v>
      </c>
      <c r="P1235" s="87" t="s">
        <v>414</v>
      </c>
      <c r="Q1235" s="87"/>
      <c r="R1235" s="87"/>
      <c r="S1235" s="87"/>
      <c r="T1235" s="87"/>
      <c r="U1235" s="87"/>
      <c r="V1235" s="90" t="str">
        <f t="shared" ref="V1235:V1236" si="308">_xlfn.TEXTJOIN(", ",TRUE,$W1235:$AB1235)</f>
        <v>Suroriente</v>
      </c>
      <c r="W1235" s="87" t="s">
        <v>108</v>
      </c>
      <c r="X1235" s="87"/>
      <c r="Y1235" s="87"/>
      <c r="Z1235" s="87"/>
      <c r="AA1235" s="87"/>
      <c r="AB1235" s="87"/>
      <c r="AC1235" s="90" t="str">
        <f t="shared" ref="AC1235:AC1236" si="309">_xlfn.TEXTJOIN(", ",TRUE,$AD1235:$AM1235)</f>
        <v>Rafael Uribe</v>
      </c>
      <c r="AD1235" s="87" t="s">
        <v>467</v>
      </c>
      <c r="AE1235" s="87"/>
      <c r="AF1235" s="87"/>
      <c r="AG1235" s="87"/>
      <c r="AH1235" s="87"/>
      <c r="AI1235" s="87"/>
      <c r="AJ1235" s="87"/>
      <c r="AK1235" s="87"/>
      <c r="AL1235" s="87"/>
      <c r="AM1235" s="87"/>
      <c r="AN1235" s="90" t="s">
        <v>5603</v>
      </c>
      <c r="AO1235" s="102" t="s">
        <v>2638</v>
      </c>
      <c r="AP1235" s="82"/>
      <c r="AQ1235" s="87" t="s">
        <v>59</v>
      </c>
      <c r="AR1235" s="87" t="s">
        <v>80</v>
      </c>
      <c r="AS1235" s="82"/>
      <c r="AT1235" s="87"/>
      <c r="AU1235" s="87"/>
      <c r="AV1235" s="87">
        <f t="shared" ref="AV1235:AV1236" si="310">AT1235+AU1235</f>
        <v>0</v>
      </c>
      <c r="AW1235" s="87" t="str">
        <f t="shared" ref="AW1235:AW1236" si="311">_xlfn.TEXTJOIN(", ",TRUE,$AX1235:$AZ1235)</f>
        <v/>
      </c>
      <c r="AX1235" s="87"/>
      <c r="AY1235" s="87"/>
      <c r="AZ1235" s="87"/>
      <c r="BA1235" s="91"/>
      <c r="BB1235" s="84"/>
      <c r="BC1235" s="85"/>
      <c r="BD1235" s="85"/>
    </row>
    <row r="1236" spans="1:56" s="86" customFormat="1" ht="39" customHeight="1">
      <c r="A1236" s="78">
        <v>1231</v>
      </c>
      <c r="B1236" s="90" t="s">
        <v>5604</v>
      </c>
      <c r="C1236" s="88">
        <v>45606</v>
      </c>
      <c r="D1236" s="89">
        <v>0.45833333333333331</v>
      </c>
      <c r="E1236" s="87" t="s">
        <v>58</v>
      </c>
      <c r="F1236" s="87" t="s">
        <v>1184</v>
      </c>
      <c r="G1236" s="87" t="s">
        <v>62</v>
      </c>
      <c r="H1236" s="90" t="s">
        <v>5599</v>
      </c>
      <c r="I1236" s="90" t="s">
        <v>128</v>
      </c>
      <c r="J1236" s="87" t="s">
        <v>173</v>
      </c>
      <c r="K1236" s="87"/>
      <c r="L1236" s="90" t="s">
        <v>5605</v>
      </c>
      <c r="M1236" s="91" t="s">
        <v>5606</v>
      </c>
      <c r="N1236" s="90" t="s">
        <v>5607</v>
      </c>
      <c r="O1236" s="90" t="str">
        <f t="shared" si="307"/>
        <v>Rafael Uribe Uribe</v>
      </c>
      <c r="P1236" s="87" t="s">
        <v>414</v>
      </c>
      <c r="Q1236" s="87"/>
      <c r="R1236" s="87"/>
      <c r="S1236" s="87"/>
      <c r="T1236" s="87"/>
      <c r="U1236" s="87"/>
      <c r="V1236" s="90" t="str">
        <f t="shared" si="308"/>
        <v>Suroriente</v>
      </c>
      <c r="W1236" s="87" t="s">
        <v>108</v>
      </c>
      <c r="X1236" s="87"/>
      <c r="Y1236" s="87"/>
      <c r="Z1236" s="87"/>
      <c r="AA1236" s="87"/>
      <c r="AB1236" s="87"/>
      <c r="AC1236" s="90" t="str">
        <f t="shared" si="309"/>
        <v>Rafael Uribe</v>
      </c>
      <c r="AD1236" s="87" t="s">
        <v>467</v>
      </c>
      <c r="AE1236" s="87"/>
      <c r="AF1236" s="87"/>
      <c r="AG1236" s="87"/>
      <c r="AH1236" s="87"/>
      <c r="AI1236" s="87"/>
      <c r="AJ1236" s="87"/>
      <c r="AK1236" s="87"/>
      <c r="AL1236" s="87"/>
      <c r="AM1236" s="87"/>
      <c r="AN1236" s="90" t="s">
        <v>5603</v>
      </c>
      <c r="AO1236" s="102" t="s">
        <v>2638</v>
      </c>
      <c r="AP1236" s="82"/>
      <c r="AQ1236" s="87" t="s">
        <v>59</v>
      </c>
      <c r="AR1236" s="87" t="s">
        <v>80</v>
      </c>
      <c r="AS1236" s="82"/>
      <c r="AT1236" s="87"/>
      <c r="AU1236" s="87"/>
      <c r="AV1236" s="87">
        <f t="shared" si="310"/>
        <v>0</v>
      </c>
      <c r="AW1236" s="87" t="str">
        <f t="shared" si="311"/>
        <v/>
      </c>
      <c r="AX1236" s="87"/>
      <c r="AY1236" s="87"/>
      <c r="AZ1236" s="87"/>
      <c r="BA1236" s="91"/>
      <c r="BB1236" s="84"/>
      <c r="BC1236" s="85"/>
      <c r="BD1236" s="85"/>
    </row>
    <row r="1237" spans="1:56" s="86" customFormat="1" ht="42.75" customHeight="1">
      <c r="A1237" s="87">
        <v>1232</v>
      </c>
      <c r="B1237" s="90" t="s">
        <v>5608</v>
      </c>
      <c r="C1237" s="88">
        <v>45607</v>
      </c>
      <c r="D1237" s="89">
        <v>0.41666666666666669</v>
      </c>
      <c r="E1237" s="87" t="s">
        <v>58</v>
      </c>
      <c r="F1237" s="87" t="s">
        <v>1184</v>
      </c>
      <c r="G1237" s="87" t="s">
        <v>62</v>
      </c>
      <c r="H1237" s="90" t="s">
        <v>5609</v>
      </c>
      <c r="I1237" s="90" t="s">
        <v>128</v>
      </c>
      <c r="J1237" s="87" t="s">
        <v>5457</v>
      </c>
      <c r="K1237" s="87" t="s">
        <v>120</v>
      </c>
      <c r="L1237" s="90" t="s">
        <v>5610</v>
      </c>
      <c r="M1237" s="91" t="s">
        <v>5611</v>
      </c>
      <c r="N1237" s="90" t="s">
        <v>5612</v>
      </c>
      <c r="O1237" s="90" t="str">
        <f t="shared" ref="O1237:O1238" si="312">_xlfn.TEXTJOIN(", ",TRUE,$P1237:$T1237)</f>
        <v>Suba</v>
      </c>
      <c r="P1237" s="87" t="s">
        <v>394</v>
      </c>
      <c r="Q1237" s="87"/>
      <c r="R1237" s="87"/>
      <c r="S1237" s="87"/>
      <c r="T1237" s="87"/>
      <c r="U1237" s="87"/>
      <c r="V1237" s="90" t="str">
        <f t="shared" ref="V1237:V1238" si="313">_xlfn.TEXTJOIN(", ",TRUE,$W1237:$AB1237)</f>
        <v>Noroccidente</v>
      </c>
      <c r="W1237" s="87" t="s">
        <v>395</v>
      </c>
      <c r="X1237" s="87"/>
      <c r="Y1237" s="87"/>
      <c r="Z1237" s="87"/>
      <c r="AA1237" s="87"/>
      <c r="AB1237" s="87"/>
      <c r="AC1237" s="90" t="str">
        <f t="shared" ref="AC1237:AC1238" si="314">_xlfn.TEXTJOIN(", ",TRUE,$AD1237:$AM1237)</f>
        <v>Suba Rincón</v>
      </c>
      <c r="AD1237" s="87" t="s">
        <v>396</v>
      </c>
      <c r="AE1237" s="87"/>
      <c r="AF1237" s="87"/>
      <c r="AG1237" s="87"/>
      <c r="AH1237" s="87"/>
      <c r="AI1237" s="87"/>
      <c r="AJ1237" s="87"/>
      <c r="AK1237" s="87"/>
      <c r="AL1237" s="87"/>
      <c r="AM1237" s="87"/>
      <c r="AN1237" s="90" t="s">
        <v>5613</v>
      </c>
      <c r="AO1237" s="90" t="s">
        <v>5614</v>
      </c>
      <c r="AP1237" s="82"/>
      <c r="AQ1237" s="87" t="s">
        <v>59</v>
      </c>
      <c r="AR1237" s="87" t="s">
        <v>80</v>
      </c>
      <c r="AS1237" s="82"/>
      <c r="AT1237" s="87"/>
      <c r="AU1237" s="87"/>
      <c r="AV1237" s="87">
        <f t="shared" ref="AV1237:AV1238" si="315">AT1237+AU1237</f>
        <v>0</v>
      </c>
      <c r="AW1237" s="87" t="str">
        <f t="shared" ref="AW1237:AW1238" si="316">_xlfn.TEXTJOIN(", ",TRUE,$AX1237:$AZ1237)</f>
        <v/>
      </c>
      <c r="AX1237" s="87"/>
      <c r="AY1237" s="87"/>
      <c r="AZ1237" s="87"/>
      <c r="BA1237" s="91"/>
      <c r="BB1237" s="84"/>
      <c r="BC1237" s="85"/>
      <c r="BD1237" s="85"/>
    </row>
    <row r="1238" spans="1:56" s="86" customFormat="1" ht="42.75" customHeight="1">
      <c r="A1238" s="78">
        <v>1233</v>
      </c>
      <c r="B1238" s="90" t="s">
        <v>5615</v>
      </c>
      <c r="C1238" s="88">
        <v>45607</v>
      </c>
      <c r="D1238" s="89">
        <v>0.66666666666666663</v>
      </c>
      <c r="E1238" s="87" t="s">
        <v>58</v>
      </c>
      <c r="F1238" s="87" t="s">
        <v>1184</v>
      </c>
      <c r="G1238" s="87" t="s">
        <v>62</v>
      </c>
      <c r="H1238" s="90" t="s">
        <v>5616</v>
      </c>
      <c r="I1238" s="90" t="s">
        <v>128</v>
      </c>
      <c r="J1238" s="87" t="s">
        <v>816</v>
      </c>
      <c r="K1238" s="87"/>
      <c r="L1238" s="90" t="s">
        <v>5617</v>
      </c>
      <c r="M1238" s="91" t="s">
        <v>5596</v>
      </c>
      <c r="N1238" s="90" t="s">
        <v>3042</v>
      </c>
      <c r="O1238" s="90" t="str">
        <f t="shared" si="312"/>
        <v>Suba</v>
      </c>
      <c r="P1238" s="87" t="s">
        <v>394</v>
      </c>
      <c r="Q1238" s="87"/>
      <c r="R1238" s="87"/>
      <c r="S1238" s="87"/>
      <c r="T1238" s="87"/>
      <c r="U1238" s="87"/>
      <c r="V1238" s="90" t="str">
        <f t="shared" si="313"/>
        <v>Noroccidente</v>
      </c>
      <c r="W1238" s="87" t="s">
        <v>395</v>
      </c>
      <c r="X1238" s="87"/>
      <c r="Y1238" s="87"/>
      <c r="Z1238" s="87"/>
      <c r="AA1238" s="87"/>
      <c r="AB1238" s="87"/>
      <c r="AC1238" s="90" t="str">
        <f t="shared" si="314"/>
        <v>Tibabuyes</v>
      </c>
      <c r="AD1238" s="87" t="s">
        <v>924</v>
      </c>
      <c r="AE1238" s="87"/>
      <c r="AF1238" s="87"/>
      <c r="AG1238" s="87"/>
      <c r="AH1238" s="87"/>
      <c r="AI1238" s="87"/>
      <c r="AJ1238" s="87"/>
      <c r="AK1238" s="87"/>
      <c r="AL1238" s="87"/>
      <c r="AM1238" s="87"/>
      <c r="AN1238" s="90" t="s">
        <v>3185</v>
      </c>
      <c r="AO1238" s="90" t="s">
        <v>5618</v>
      </c>
      <c r="AP1238" s="82"/>
      <c r="AQ1238" s="87" t="s">
        <v>59</v>
      </c>
      <c r="AR1238" s="87" t="s">
        <v>80</v>
      </c>
      <c r="AS1238" s="82"/>
      <c r="AT1238" s="87"/>
      <c r="AU1238" s="87"/>
      <c r="AV1238" s="87">
        <f t="shared" si="315"/>
        <v>0</v>
      </c>
      <c r="AW1238" s="87" t="str">
        <f t="shared" si="316"/>
        <v/>
      </c>
      <c r="AX1238" s="87"/>
      <c r="AY1238" s="87"/>
      <c r="AZ1238" s="87"/>
      <c r="BA1238" s="91"/>
      <c r="BB1238" s="84"/>
      <c r="BC1238" s="85"/>
      <c r="BD1238" s="85"/>
    </row>
    <row r="1239" spans="1:56" s="86" customFormat="1" ht="42.75" customHeight="1">
      <c r="A1239" s="87">
        <v>1234</v>
      </c>
      <c r="B1239" s="90" t="s">
        <v>5619</v>
      </c>
      <c r="C1239" s="88">
        <v>45608</v>
      </c>
      <c r="D1239" s="89">
        <v>0.33333333333333331</v>
      </c>
      <c r="E1239" s="87" t="s">
        <v>58</v>
      </c>
      <c r="F1239" s="87" t="s">
        <v>1184</v>
      </c>
      <c r="G1239" s="87" t="s">
        <v>95</v>
      </c>
      <c r="H1239" s="90" t="s">
        <v>5620</v>
      </c>
      <c r="I1239" s="90" t="s">
        <v>128</v>
      </c>
      <c r="J1239" s="87" t="s">
        <v>70</v>
      </c>
      <c r="K1239" s="87" t="s">
        <v>104</v>
      </c>
      <c r="L1239" s="90" t="s">
        <v>5621</v>
      </c>
      <c r="M1239" s="91" t="s">
        <v>5622</v>
      </c>
      <c r="N1239" s="90" t="s">
        <v>5623</v>
      </c>
      <c r="O1239" s="90" t="str">
        <f t="shared" ref="O1239:O1270" si="317">_xlfn.TEXTJOIN(", ",TRUE,$P1239:$T1239)</f>
        <v>Sumapaz</v>
      </c>
      <c r="P1239" s="87" t="s">
        <v>327</v>
      </c>
      <c r="Q1239" s="87"/>
      <c r="R1239" s="87"/>
      <c r="S1239" s="87"/>
      <c r="T1239" s="87"/>
      <c r="U1239" s="87"/>
      <c r="V1239" s="90" t="str">
        <f t="shared" ref="V1239:V1270" si="318">_xlfn.TEXTJOIN(", ",TRUE,$W1239:$AB1239)</f>
        <v>Ruralidad</v>
      </c>
      <c r="W1239" s="87" t="s">
        <v>109</v>
      </c>
      <c r="X1239" s="87"/>
      <c r="Y1239" s="87"/>
      <c r="Z1239" s="87"/>
      <c r="AA1239" s="87"/>
      <c r="AB1239" s="87"/>
      <c r="AC1239" s="90" t="str">
        <f t="shared" ref="AC1239:AC1270" si="319">_xlfn.TEXTJOIN(", ",TRUE,$AD1239:$AM1239)</f>
        <v>Sumapaz</v>
      </c>
      <c r="AD1239" s="87" t="s">
        <v>327</v>
      </c>
      <c r="AE1239" s="87"/>
      <c r="AF1239" s="87"/>
      <c r="AG1239" s="87"/>
      <c r="AH1239" s="87"/>
      <c r="AI1239" s="87"/>
      <c r="AJ1239" s="87"/>
      <c r="AK1239" s="87"/>
      <c r="AL1239" s="87"/>
      <c r="AM1239" s="87"/>
      <c r="AN1239" s="90" t="s">
        <v>327</v>
      </c>
      <c r="AO1239" s="90" t="s">
        <v>90</v>
      </c>
      <c r="AP1239" s="82"/>
      <c r="AQ1239" s="87" t="s">
        <v>59</v>
      </c>
      <c r="AR1239" s="87" t="s">
        <v>80</v>
      </c>
      <c r="AS1239" s="82"/>
      <c r="AT1239" s="87"/>
      <c r="AU1239" s="87"/>
      <c r="AV1239" s="87">
        <f t="shared" ref="AV1239:AV1270" si="320">AT1239+AU1239</f>
        <v>0</v>
      </c>
      <c r="AW1239" s="87" t="str">
        <f t="shared" ref="AW1239:AW1251" si="321">_xlfn.TEXTJOIN(", ",TRUE,$AX1239:$AZ1239)</f>
        <v/>
      </c>
      <c r="AX1239" s="87"/>
      <c r="AY1239" s="87"/>
      <c r="AZ1239" s="87"/>
      <c r="BA1239" s="91"/>
      <c r="BB1239" s="84"/>
      <c r="BC1239" s="85"/>
      <c r="BD1239" s="85"/>
    </row>
    <row r="1240" spans="1:56" s="86" customFormat="1" ht="42.75" customHeight="1">
      <c r="A1240" s="78">
        <v>1235</v>
      </c>
      <c r="B1240" s="90" t="s">
        <v>5624</v>
      </c>
      <c r="C1240" s="88">
        <v>45608</v>
      </c>
      <c r="D1240" s="89" t="s">
        <v>5625</v>
      </c>
      <c r="E1240" s="87" t="s">
        <v>58</v>
      </c>
      <c r="F1240" s="87" t="s">
        <v>1184</v>
      </c>
      <c r="G1240" s="87" t="s">
        <v>62</v>
      </c>
      <c r="H1240" s="90" t="s">
        <v>5626</v>
      </c>
      <c r="I1240" s="90" t="s">
        <v>128</v>
      </c>
      <c r="J1240" s="87" t="s">
        <v>816</v>
      </c>
      <c r="K1240" s="87"/>
      <c r="L1240" s="90" t="s">
        <v>80</v>
      </c>
      <c r="M1240" s="90" t="s">
        <v>80</v>
      </c>
      <c r="N1240" s="90" t="s">
        <v>80</v>
      </c>
      <c r="O1240" s="90" t="str">
        <f t="shared" si="317"/>
        <v>Suba</v>
      </c>
      <c r="P1240" s="87" t="s">
        <v>394</v>
      </c>
      <c r="Q1240" s="87"/>
      <c r="R1240" s="87"/>
      <c r="S1240" s="87"/>
      <c r="T1240" s="87"/>
      <c r="U1240" s="87"/>
      <c r="V1240" s="90" t="str">
        <f t="shared" si="318"/>
        <v>Norte</v>
      </c>
      <c r="W1240" s="87" t="s">
        <v>429</v>
      </c>
      <c r="X1240" s="87"/>
      <c r="Y1240" s="87"/>
      <c r="Z1240" s="87"/>
      <c r="AA1240" s="87"/>
      <c r="AB1240" s="87"/>
      <c r="AC1240" s="90" t="str">
        <f t="shared" si="319"/>
        <v>Britalia</v>
      </c>
      <c r="AD1240" s="87" t="s">
        <v>876</v>
      </c>
      <c r="AE1240" s="87"/>
      <c r="AF1240" s="87"/>
      <c r="AG1240" s="87"/>
      <c r="AH1240" s="87"/>
      <c r="AI1240" s="87"/>
      <c r="AJ1240" s="87"/>
      <c r="AK1240" s="87"/>
      <c r="AL1240" s="87"/>
      <c r="AM1240" s="87"/>
      <c r="AN1240" s="90" t="s">
        <v>80</v>
      </c>
      <c r="AO1240" s="90" t="s">
        <v>5627</v>
      </c>
      <c r="AP1240" s="82"/>
      <c r="AQ1240" s="87" t="s">
        <v>59</v>
      </c>
      <c r="AR1240" s="87" t="s">
        <v>80</v>
      </c>
      <c r="AS1240" s="82"/>
      <c r="AT1240" s="87"/>
      <c r="AU1240" s="87"/>
      <c r="AV1240" s="87">
        <f t="shared" si="320"/>
        <v>0</v>
      </c>
      <c r="AW1240" s="87" t="str">
        <f t="shared" si="321"/>
        <v/>
      </c>
      <c r="AX1240" s="87"/>
      <c r="AY1240" s="87"/>
      <c r="AZ1240" s="87"/>
      <c r="BA1240" s="91"/>
      <c r="BB1240" s="84"/>
      <c r="BC1240" s="85"/>
      <c r="BD1240" s="85"/>
    </row>
    <row r="1241" spans="1:56" s="86" customFormat="1" ht="33.75" customHeight="1">
      <c r="A1241" s="87">
        <v>1236</v>
      </c>
      <c r="B1241" s="90" t="s">
        <v>661</v>
      </c>
      <c r="C1241" s="88">
        <v>45609</v>
      </c>
      <c r="D1241" s="89">
        <v>0.33333333333333331</v>
      </c>
      <c r="E1241" s="87" t="s">
        <v>93</v>
      </c>
      <c r="F1241" s="87" t="s">
        <v>321</v>
      </c>
      <c r="G1241" s="87" t="s">
        <v>62</v>
      </c>
      <c r="H1241" s="90" t="s">
        <v>5628</v>
      </c>
      <c r="I1241" s="90" t="s">
        <v>118</v>
      </c>
      <c r="J1241" s="87" t="s">
        <v>70</v>
      </c>
      <c r="K1241" s="87" t="s">
        <v>1810</v>
      </c>
      <c r="L1241" s="90" t="s">
        <v>5629</v>
      </c>
      <c r="M1241" s="91" t="s">
        <v>5630</v>
      </c>
      <c r="N1241" s="90" t="s">
        <v>5631</v>
      </c>
      <c r="O1241" s="90" t="str">
        <f t="shared" si="317"/>
        <v>Teusaquillo</v>
      </c>
      <c r="P1241" s="87" t="s">
        <v>665</v>
      </c>
      <c r="Q1241" s="87"/>
      <c r="R1241" s="87"/>
      <c r="S1241" s="87"/>
      <c r="T1241" s="87"/>
      <c r="U1241" s="87"/>
      <c r="V1241" s="90" t="str">
        <f t="shared" si="318"/>
        <v>Centro Ampliado</v>
      </c>
      <c r="W1241" s="87" t="s">
        <v>415</v>
      </c>
      <c r="X1241" s="87"/>
      <c r="Y1241" s="87"/>
      <c r="Z1241" s="87"/>
      <c r="AA1241" s="87"/>
      <c r="AB1241" s="87"/>
      <c r="AC1241" s="90" t="str">
        <f t="shared" si="319"/>
        <v>Teusaquillo</v>
      </c>
      <c r="AD1241" s="87" t="s">
        <v>665</v>
      </c>
      <c r="AE1241" s="87"/>
      <c r="AF1241" s="87"/>
      <c r="AG1241" s="87"/>
      <c r="AH1241" s="87"/>
      <c r="AI1241" s="87"/>
      <c r="AJ1241" s="87"/>
      <c r="AK1241" s="87"/>
      <c r="AL1241" s="87"/>
      <c r="AM1241" s="87"/>
      <c r="AN1241" s="90" t="s">
        <v>1686</v>
      </c>
      <c r="AO1241" s="90" t="s">
        <v>5232</v>
      </c>
      <c r="AP1241" s="82"/>
      <c r="AQ1241" s="87" t="s">
        <v>59</v>
      </c>
      <c r="AR1241" s="87" t="s">
        <v>80</v>
      </c>
      <c r="AS1241" s="82"/>
      <c r="AT1241" s="87"/>
      <c r="AU1241" s="87"/>
      <c r="AV1241" s="87">
        <f t="shared" si="320"/>
        <v>0</v>
      </c>
      <c r="AW1241" s="87" t="str">
        <f t="shared" si="321"/>
        <v/>
      </c>
      <c r="AX1241" s="87"/>
      <c r="AY1241" s="87"/>
      <c r="AZ1241" s="87"/>
      <c r="BA1241" s="91"/>
      <c r="BB1241" s="84"/>
      <c r="BC1241" s="85"/>
      <c r="BD1241" s="85"/>
    </row>
    <row r="1242" spans="1:56" s="86" customFormat="1" ht="36.75" customHeight="1">
      <c r="A1242" s="78">
        <v>1237</v>
      </c>
      <c r="B1242" s="90" t="s">
        <v>655</v>
      </c>
      <c r="C1242" s="88">
        <v>45609</v>
      </c>
      <c r="D1242" s="89">
        <v>0.41666666666666669</v>
      </c>
      <c r="E1242" s="87" t="s">
        <v>93</v>
      </c>
      <c r="F1242" s="87" t="s">
        <v>321</v>
      </c>
      <c r="G1242" s="87" t="s">
        <v>62</v>
      </c>
      <c r="H1242" s="90" t="s">
        <v>5632</v>
      </c>
      <c r="I1242" s="90" t="s">
        <v>118</v>
      </c>
      <c r="J1242" s="87" t="s">
        <v>70</v>
      </c>
      <c r="K1242" s="87" t="s">
        <v>1810</v>
      </c>
      <c r="L1242" s="90" t="s">
        <v>5633</v>
      </c>
      <c r="M1242" s="91" t="s">
        <v>5634</v>
      </c>
      <c r="N1242" s="90" t="s">
        <v>4938</v>
      </c>
      <c r="O1242" s="90" t="str">
        <f t="shared" si="317"/>
        <v>Antonio Nariño</v>
      </c>
      <c r="P1242" s="87" t="s">
        <v>413</v>
      </c>
      <c r="Q1242" s="87"/>
      <c r="R1242" s="87"/>
      <c r="S1242" s="87"/>
      <c r="T1242" s="87"/>
      <c r="U1242" s="87"/>
      <c r="V1242" s="90" t="str">
        <f t="shared" si="318"/>
        <v>Centro Ampliado</v>
      </c>
      <c r="W1242" s="87" t="s">
        <v>415</v>
      </c>
      <c r="X1242" s="87"/>
      <c r="Y1242" s="87"/>
      <c r="Z1242" s="87"/>
      <c r="AA1242" s="87"/>
      <c r="AB1242" s="87"/>
      <c r="AC1242" s="90" t="str">
        <f t="shared" si="319"/>
        <v>Restrepo, Rafael Uribe</v>
      </c>
      <c r="AD1242" s="87" t="s">
        <v>416</v>
      </c>
      <c r="AE1242" s="87" t="s">
        <v>467</v>
      </c>
      <c r="AF1242" s="87"/>
      <c r="AG1242" s="87"/>
      <c r="AH1242" s="87"/>
      <c r="AI1242" s="87"/>
      <c r="AJ1242" s="87"/>
      <c r="AK1242" s="87"/>
      <c r="AL1242" s="87"/>
      <c r="AM1242" s="87"/>
      <c r="AN1242" s="90" t="s">
        <v>5635</v>
      </c>
      <c r="AO1242" s="90" t="s">
        <v>5636</v>
      </c>
      <c r="AP1242" s="82"/>
      <c r="AQ1242" s="87" t="s">
        <v>59</v>
      </c>
      <c r="AR1242" s="87" t="s">
        <v>80</v>
      </c>
      <c r="AS1242" s="82"/>
      <c r="AT1242" s="87"/>
      <c r="AU1242" s="87"/>
      <c r="AV1242" s="87">
        <f t="shared" si="320"/>
        <v>0</v>
      </c>
      <c r="AW1242" s="87" t="str">
        <f t="shared" si="321"/>
        <v/>
      </c>
      <c r="AX1242" s="87"/>
      <c r="AY1242" s="87"/>
      <c r="AZ1242" s="87"/>
      <c r="BA1242" s="91"/>
      <c r="BB1242" s="84"/>
      <c r="BC1242" s="85"/>
      <c r="BD1242" s="85"/>
    </row>
    <row r="1243" spans="1:56" s="86" customFormat="1" ht="34.5" customHeight="1">
      <c r="A1243" s="87">
        <v>1238</v>
      </c>
      <c r="B1243" s="90" t="s">
        <v>5637</v>
      </c>
      <c r="C1243" s="88">
        <v>45610</v>
      </c>
      <c r="D1243" s="89">
        <v>0.29166666666666669</v>
      </c>
      <c r="E1243" s="87" t="s">
        <v>58</v>
      </c>
      <c r="F1243" s="87" t="s">
        <v>149</v>
      </c>
      <c r="G1243" s="87" t="s">
        <v>62</v>
      </c>
      <c r="H1243" s="90" t="s">
        <v>5638</v>
      </c>
      <c r="I1243" s="90" t="s">
        <v>118</v>
      </c>
      <c r="J1243" s="87" t="s">
        <v>70</v>
      </c>
      <c r="K1243" s="87" t="s">
        <v>71</v>
      </c>
      <c r="L1243" s="90" t="s">
        <v>5639</v>
      </c>
      <c r="M1243" s="91" t="s">
        <v>1317</v>
      </c>
      <c r="N1243" s="91" t="s">
        <v>1317</v>
      </c>
      <c r="O1243" s="90" t="str">
        <f t="shared" si="317"/>
        <v>Distrital</v>
      </c>
      <c r="P1243" s="87" t="s">
        <v>73</v>
      </c>
      <c r="Q1243" s="87"/>
      <c r="R1243" s="87"/>
      <c r="S1243" s="87"/>
      <c r="T1243" s="87"/>
      <c r="U1243" s="87"/>
      <c r="V1243" s="90" t="str">
        <f t="shared" si="318"/>
        <v>Distrital</v>
      </c>
      <c r="W1243" s="87" t="s">
        <v>73</v>
      </c>
      <c r="X1243" s="87"/>
      <c r="Y1243" s="87"/>
      <c r="Z1243" s="87"/>
      <c r="AA1243" s="87"/>
      <c r="AB1243" s="87"/>
      <c r="AC1243" s="90" t="str">
        <f t="shared" si="319"/>
        <v>Distrital</v>
      </c>
      <c r="AD1243" s="87" t="s">
        <v>73</v>
      </c>
      <c r="AE1243" s="87"/>
      <c r="AF1243" s="87"/>
      <c r="AG1243" s="87"/>
      <c r="AH1243" s="87"/>
      <c r="AI1243" s="87"/>
      <c r="AJ1243" s="87"/>
      <c r="AK1243" s="87"/>
      <c r="AL1243" s="87"/>
      <c r="AM1243" s="87"/>
      <c r="AN1243" s="90" t="s">
        <v>80</v>
      </c>
      <c r="AO1243" s="90" t="s">
        <v>80</v>
      </c>
      <c r="AP1243" s="82"/>
      <c r="AQ1243" s="87" t="s">
        <v>59</v>
      </c>
      <c r="AR1243" s="87" t="s">
        <v>80</v>
      </c>
      <c r="AS1243" s="82"/>
      <c r="AT1243" s="87"/>
      <c r="AU1243" s="87"/>
      <c r="AV1243" s="87">
        <f t="shared" si="320"/>
        <v>0</v>
      </c>
      <c r="AW1243" s="87" t="str">
        <f t="shared" si="321"/>
        <v/>
      </c>
      <c r="AX1243" s="87"/>
      <c r="AY1243" s="87"/>
      <c r="AZ1243" s="87"/>
      <c r="BA1243" s="91"/>
      <c r="BB1243" s="84"/>
      <c r="BC1243" s="85"/>
      <c r="BD1243" s="85"/>
    </row>
    <row r="1244" spans="1:56" s="86" customFormat="1" ht="44.25" customHeight="1">
      <c r="A1244" s="78">
        <v>1239</v>
      </c>
      <c r="B1244" s="90" t="s">
        <v>5640</v>
      </c>
      <c r="C1244" s="88">
        <v>45610</v>
      </c>
      <c r="D1244" s="89">
        <v>0.58333333333333337</v>
      </c>
      <c r="E1244" s="87" t="s">
        <v>58</v>
      </c>
      <c r="F1244" s="87" t="s">
        <v>2121</v>
      </c>
      <c r="G1244" s="87" t="s">
        <v>62</v>
      </c>
      <c r="H1244" s="90" t="s">
        <v>5641</v>
      </c>
      <c r="I1244" s="90" t="s">
        <v>118</v>
      </c>
      <c r="J1244" s="87" t="s">
        <v>70</v>
      </c>
      <c r="K1244" s="87"/>
      <c r="L1244" s="90" t="s">
        <v>80</v>
      </c>
      <c r="M1244" s="90" t="s">
        <v>80</v>
      </c>
      <c r="N1244" s="90" t="s">
        <v>80</v>
      </c>
      <c r="O1244" s="90" t="str">
        <f t="shared" si="317"/>
        <v>Distrital</v>
      </c>
      <c r="P1244" s="87" t="s">
        <v>73</v>
      </c>
      <c r="Q1244" s="87"/>
      <c r="R1244" s="87"/>
      <c r="S1244" s="87"/>
      <c r="T1244" s="87"/>
      <c r="U1244" s="87"/>
      <c r="V1244" s="90" t="str">
        <f t="shared" si="318"/>
        <v>Distrital</v>
      </c>
      <c r="W1244" s="87" t="s">
        <v>73</v>
      </c>
      <c r="X1244" s="87"/>
      <c r="Y1244" s="87"/>
      <c r="Z1244" s="87"/>
      <c r="AA1244" s="87"/>
      <c r="AB1244" s="87"/>
      <c r="AC1244" s="90" t="str">
        <f t="shared" si="319"/>
        <v>Distrital</v>
      </c>
      <c r="AD1244" s="87" t="s">
        <v>73</v>
      </c>
      <c r="AE1244" s="87"/>
      <c r="AF1244" s="87"/>
      <c r="AG1244" s="87"/>
      <c r="AH1244" s="87"/>
      <c r="AI1244" s="87"/>
      <c r="AJ1244" s="87"/>
      <c r="AK1244" s="87"/>
      <c r="AL1244" s="87"/>
      <c r="AM1244" s="87"/>
      <c r="AN1244" s="90" t="s">
        <v>80</v>
      </c>
      <c r="AO1244" s="90" t="s">
        <v>5642</v>
      </c>
      <c r="AP1244" s="82"/>
      <c r="AQ1244" s="87" t="s">
        <v>59</v>
      </c>
      <c r="AR1244" s="87" t="s">
        <v>80</v>
      </c>
      <c r="AS1244" s="82"/>
      <c r="AT1244" s="87"/>
      <c r="AU1244" s="87"/>
      <c r="AV1244" s="87">
        <f t="shared" si="320"/>
        <v>0</v>
      </c>
      <c r="AW1244" s="87" t="str">
        <f t="shared" si="321"/>
        <v/>
      </c>
      <c r="AX1244" s="87"/>
      <c r="AY1244" s="87"/>
      <c r="AZ1244" s="87"/>
      <c r="BA1244" s="91"/>
      <c r="BB1244" s="84"/>
      <c r="BC1244" s="85"/>
      <c r="BD1244" s="85"/>
    </row>
    <row r="1245" spans="1:56" s="86" customFormat="1" ht="37.5" customHeight="1">
      <c r="A1245" s="87">
        <v>1240</v>
      </c>
      <c r="B1245" s="90" t="s">
        <v>5643</v>
      </c>
      <c r="C1245" s="88">
        <v>45611</v>
      </c>
      <c r="D1245" s="89">
        <v>0.375</v>
      </c>
      <c r="E1245" s="87" t="s">
        <v>58</v>
      </c>
      <c r="F1245" s="87" t="s">
        <v>2121</v>
      </c>
      <c r="G1245" s="87" t="s">
        <v>62</v>
      </c>
      <c r="H1245" s="90" t="s">
        <v>5644</v>
      </c>
      <c r="I1245" s="90" t="s">
        <v>118</v>
      </c>
      <c r="J1245" s="87" t="s">
        <v>119</v>
      </c>
      <c r="K1245" s="87"/>
      <c r="L1245" s="90" t="s">
        <v>2654</v>
      </c>
      <c r="M1245" s="91" t="s">
        <v>5645</v>
      </c>
      <c r="N1245" s="90" t="s">
        <v>5646</v>
      </c>
      <c r="O1245" s="90" t="str">
        <f t="shared" si="317"/>
        <v>Distrital</v>
      </c>
      <c r="P1245" s="87" t="s">
        <v>73</v>
      </c>
      <c r="Q1245" s="87"/>
      <c r="R1245" s="87"/>
      <c r="S1245" s="87"/>
      <c r="T1245" s="87"/>
      <c r="U1245" s="87"/>
      <c r="V1245" s="90" t="str">
        <f t="shared" si="318"/>
        <v>Distrital</v>
      </c>
      <c r="W1245" s="87" t="s">
        <v>73</v>
      </c>
      <c r="X1245" s="87"/>
      <c r="Y1245" s="87"/>
      <c r="Z1245" s="87"/>
      <c r="AA1245" s="87"/>
      <c r="AB1245" s="87"/>
      <c r="AC1245" s="90" t="str">
        <f t="shared" si="319"/>
        <v>Distrital</v>
      </c>
      <c r="AD1245" s="87" t="s">
        <v>73</v>
      </c>
      <c r="AE1245" s="87"/>
      <c r="AF1245" s="87"/>
      <c r="AG1245" s="87"/>
      <c r="AH1245" s="87"/>
      <c r="AI1245" s="87"/>
      <c r="AJ1245" s="87"/>
      <c r="AK1245" s="87"/>
      <c r="AL1245" s="87"/>
      <c r="AM1245" s="87"/>
      <c r="AN1245" s="90" t="s">
        <v>4727</v>
      </c>
      <c r="AO1245" s="90" t="s">
        <v>5647</v>
      </c>
      <c r="AP1245" s="82"/>
      <c r="AQ1245" s="87" t="s">
        <v>59</v>
      </c>
      <c r="AR1245" s="87" t="s">
        <v>80</v>
      </c>
      <c r="AS1245" s="82"/>
      <c r="AT1245" s="87"/>
      <c r="AU1245" s="87"/>
      <c r="AV1245" s="87">
        <f t="shared" si="320"/>
        <v>0</v>
      </c>
      <c r="AW1245" s="87" t="str">
        <f t="shared" si="321"/>
        <v/>
      </c>
      <c r="AX1245" s="87"/>
      <c r="AY1245" s="87"/>
      <c r="AZ1245" s="87"/>
      <c r="BA1245" s="91"/>
      <c r="BB1245" s="84"/>
      <c r="BC1245" s="85"/>
      <c r="BD1245" s="85"/>
    </row>
    <row r="1246" spans="1:56" s="86" customFormat="1" ht="39" customHeight="1">
      <c r="A1246" s="78">
        <v>1241</v>
      </c>
      <c r="B1246" s="90" t="s">
        <v>5648</v>
      </c>
      <c r="C1246" s="88">
        <v>45611</v>
      </c>
      <c r="D1246" s="89">
        <v>0.66666666666666663</v>
      </c>
      <c r="E1246" s="87" t="s">
        <v>58</v>
      </c>
      <c r="F1246" s="87" t="s">
        <v>1184</v>
      </c>
      <c r="G1246" s="87" t="s">
        <v>95</v>
      </c>
      <c r="H1246" s="90" t="s">
        <v>5357</v>
      </c>
      <c r="I1246" s="90" t="s">
        <v>128</v>
      </c>
      <c r="J1246" s="87" t="s">
        <v>119</v>
      </c>
      <c r="K1246" s="87" t="s">
        <v>217</v>
      </c>
      <c r="L1246" s="90" t="s">
        <v>5649</v>
      </c>
      <c r="M1246" s="91">
        <v>3222863317</v>
      </c>
      <c r="N1246" s="90" t="s">
        <v>3042</v>
      </c>
      <c r="O1246" s="90" t="str">
        <f t="shared" si="317"/>
        <v>Sumapaz</v>
      </c>
      <c r="P1246" s="87" t="s">
        <v>327</v>
      </c>
      <c r="Q1246" s="87"/>
      <c r="R1246" s="87"/>
      <c r="S1246" s="87"/>
      <c r="T1246" s="87"/>
      <c r="U1246" s="87"/>
      <c r="V1246" s="90" t="str">
        <f t="shared" si="318"/>
        <v>Ruralidad</v>
      </c>
      <c r="W1246" s="87" t="s">
        <v>109</v>
      </c>
      <c r="X1246" s="87"/>
      <c r="Y1246" s="87"/>
      <c r="Z1246" s="87"/>
      <c r="AA1246" s="87"/>
      <c r="AB1246" s="87"/>
      <c r="AC1246" s="90" t="str">
        <f t="shared" si="319"/>
        <v>Sumapaz</v>
      </c>
      <c r="AD1246" s="87" t="s">
        <v>327</v>
      </c>
      <c r="AE1246" s="87"/>
      <c r="AF1246" s="87"/>
      <c r="AG1246" s="87"/>
      <c r="AH1246" s="87"/>
      <c r="AI1246" s="87"/>
      <c r="AJ1246" s="87"/>
      <c r="AK1246" s="87"/>
      <c r="AL1246" s="87"/>
      <c r="AM1246" s="87"/>
      <c r="AN1246" s="90" t="s">
        <v>327</v>
      </c>
      <c r="AO1246" s="90" t="s">
        <v>90</v>
      </c>
      <c r="AP1246" s="82"/>
      <c r="AQ1246" s="87" t="s">
        <v>59</v>
      </c>
      <c r="AR1246" s="87" t="s">
        <v>80</v>
      </c>
      <c r="AS1246" s="82"/>
      <c r="AT1246" s="87"/>
      <c r="AU1246" s="87"/>
      <c r="AV1246" s="87">
        <f t="shared" si="320"/>
        <v>0</v>
      </c>
      <c r="AW1246" s="87" t="str">
        <f t="shared" si="321"/>
        <v/>
      </c>
      <c r="AX1246" s="87"/>
      <c r="AY1246" s="87"/>
      <c r="AZ1246" s="87"/>
      <c r="BA1246" s="91"/>
      <c r="BB1246" s="84"/>
      <c r="BC1246" s="85"/>
      <c r="BD1246" s="85"/>
    </row>
    <row r="1247" spans="1:56" s="86" customFormat="1" ht="33.75" customHeight="1">
      <c r="A1247" s="87">
        <v>1242</v>
      </c>
      <c r="B1247" s="90" t="s">
        <v>5650</v>
      </c>
      <c r="C1247" s="88">
        <v>45617</v>
      </c>
      <c r="D1247" s="89">
        <v>0.33333333333333331</v>
      </c>
      <c r="E1247" s="87" t="s">
        <v>58</v>
      </c>
      <c r="F1247" s="87" t="s">
        <v>1437</v>
      </c>
      <c r="G1247" s="87" t="s">
        <v>62</v>
      </c>
      <c r="H1247" s="90" t="s">
        <v>5651</v>
      </c>
      <c r="I1247" s="90" t="s">
        <v>118</v>
      </c>
      <c r="J1247" s="87" t="s">
        <v>70</v>
      </c>
      <c r="K1247" s="87" t="s">
        <v>71</v>
      </c>
      <c r="L1247" s="90" t="s">
        <v>80</v>
      </c>
      <c r="M1247" s="90" t="s">
        <v>80</v>
      </c>
      <c r="N1247" s="90" t="s">
        <v>80</v>
      </c>
      <c r="O1247" s="90" t="str">
        <f t="shared" si="317"/>
        <v>Distrital</v>
      </c>
      <c r="P1247" s="87" t="s">
        <v>73</v>
      </c>
      <c r="Q1247" s="87"/>
      <c r="R1247" s="87"/>
      <c r="S1247" s="87"/>
      <c r="T1247" s="87"/>
      <c r="U1247" s="87"/>
      <c r="V1247" s="90" t="str">
        <f t="shared" si="318"/>
        <v>Distrital</v>
      </c>
      <c r="W1247" s="87" t="s">
        <v>73</v>
      </c>
      <c r="X1247" s="87"/>
      <c r="Y1247" s="87"/>
      <c r="Z1247" s="87"/>
      <c r="AA1247" s="87"/>
      <c r="AB1247" s="87"/>
      <c r="AC1247" s="90" t="str">
        <f t="shared" si="319"/>
        <v>Distrital</v>
      </c>
      <c r="AD1247" s="87" t="s">
        <v>73</v>
      </c>
      <c r="AE1247" s="87"/>
      <c r="AF1247" s="87"/>
      <c r="AG1247" s="87"/>
      <c r="AH1247" s="87"/>
      <c r="AI1247" s="87"/>
      <c r="AJ1247" s="87"/>
      <c r="AK1247" s="87"/>
      <c r="AL1247" s="87"/>
      <c r="AM1247" s="87"/>
      <c r="AN1247" s="90" t="s">
        <v>80</v>
      </c>
      <c r="AO1247" s="90" t="s">
        <v>5652</v>
      </c>
      <c r="AP1247" s="82"/>
      <c r="AQ1247" s="87" t="s">
        <v>59</v>
      </c>
      <c r="AR1247" s="87" t="s">
        <v>80</v>
      </c>
      <c r="AS1247" s="82"/>
      <c r="AT1247" s="87"/>
      <c r="AU1247" s="87"/>
      <c r="AV1247" s="87">
        <f t="shared" si="320"/>
        <v>0</v>
      </c>
      <c r="AW1247" s="87" t="str">
        <f t="shared" si="321"/>
        <v/>
      </c>
      <c r="AX1247" s="87"/>
      <c r="AY1247" s="87"/>
      <c r="AZ1247" s="87"/>
      <c r="BA1247" s="91"/>
      <c r="BB1247" s="84"/>
      <c r="BC1247" s="85"/>
      <c r="BD1247" s="85"/>
    </row>
    <row r="1248" spans="1:56" s="86" customFormat="1" ht="104.25" customHeight="1">
      <c r="A1248" s="78">
        <v>1243</v>
      </c>
      <c r="B1248" s="90" t="s">
        <v>5653</v>
      </c>
      <c r="C1248" s="88">
        <v>45622</v>
      </c>
      <c r="D1248" s="89">
        <v>0.33333333333333331</v>
      </c>
      <c r="E1248" s="87" t="s">
        <v>58</v>
      </c>
      <c r="F1248" s="87" t="s">
        <v>135</v>
      </c>
      <c r="G1248" s="87" t="s">
        <v>62</v>
      </c>
      <c r="H1248" s="90" t="s">
        <v>5654</v>
      </c>
      <c r="I1248" s="90" t="s">
        <v>188</v>
      </c>
      <c r="J1248" s="87" t="s">
        <v>70</v>
      </c>
      <c r="K1248" s="87" t="s">
        <v>71</v>
      </c>
      <c r="L1248" s="90" t="s">
        <v>5655</v>
      </c>
      <c r="M1248" s="91" t="s">
        <v>80</v>
      </c>
      <c r="N1248" s="90" t="s">
        <v>80</v>
      </c>
      <c r="O1248" s="90" t="str">
        <f t="shared" si="317"/>
        <v>Distrital</v>
      </c>
      <c r="P1248" s="87" t="s">
        <v>73</v>
      </c>
      <c r="Q1248" s="87"/>
      <c r="R1248" s="87"/>
      <c r="S1248" s="87"/>
      <c r="T1248" s="87"/>
      <c r="U1248" s="87"/>
      <c r="V1248" s="90" t="str">
        <f t="shared" si="318"/>
        <v>Distrital</v>
      </c>
      <c r="W1248" s="87" t="s">
        <v>73</v>
      </c>
      <c r="X1248" s="87"/>
      <c r="Y1248" s="87"/>
      <c r="Z1248" s="87"/>
      <c r="AA1248" s="87"/>
      <c r="AB1248" s="87"/>
      <c r="AC1248" s="90" t="str">
        <f t="shared" si="319"/>
        <v>Distrital</v>
      </c>
      <c r="AD1248" s="87" t="s">
        <v>73</v>
      </c>
      <c r="AE1248" s="87"/>
      <c r="AF1248" s="87"/>
      <c r="AG1248" s="87"/>
      <c r="AH1248" s="87"/>
      <c r="AI1248" s="87"/>
      <c r="AJ1248" s="87"/>
      <c r="AK1248" s="87"/>
      <c r="AL1248" s="87"/>
      <c r="AM1248" s="87"/>
      <c r="AN1248" s="90" t="s">
        <v>80</v>
      </c>
      <c r="AO1248" s="90" t="s">
        <v>5656</v>
      </c>
      <c r="AP1248" s="82"/>
      <c r="AQ1248" s="87" t="s">
        <v>59</v>
      </c>
      <c r="AR1248" s="87" t="s">
        <v>80</v>
      </c>
      <c r="AS1248" s="82"/>
      <c r="AT1248" s="87"/>
      <c r="AU1248" s="87"/>
      <c r="AV1248" s="87">
        <f t="shared" si="320"/>
        <v>0</v>
      </c>
      <c r="AW1248" s="87" t="str">
        <f t="shared" si="321"/>
        <v/>
      </c>
      <c r="AX1248" s="87"/>
      <c r="AY1248" s="87"/>
      <c r="AZ1248" s="87"/>
      <c r="BA1248" s="91"/>
      <c r="BB1248" s="84"/>
      <c r="BC1248" s="85"/>
      <c r="BD1248" s="85"/>
    </row>
    <row r="1249" spans="1:56" s="86" customFormat="1" ht="41.25" customHeight="1">
      <c r="A1249" s="87">
        <v>1244</v>
      </c>
      <c r="B1249" s="90" t="s">
        <v>5657</v>
      </c>
      <c r="C1249" s="88">
        <v>45624</v>
      </c>
      <c r="D1249" s="89">
        <v>0.375</v>
      </c>
      <c r="E1249" s="87" t="s">
        <v>58</v>
      </c>
      <c r="F1249" s="87" t="s">
        <v>2358</v>
      </c>
      <c r="G1249" s="87" t="s">
        <v>62</v>
      </c>
      <c r="H1249" s="90" t="s">
        <v>5658</v>
      </c>
      <c r="I1249" s="90" t="s">
        <v>118</v>
      </c>
      <c r="J1249" s="87" t="s">
        <v>173</v>
      </c>
      <c r="K1249" s="87"/>
      <c r="L1249" s="90" t="s">
        <v>5114</v>
      </c>
      <c r="M1249" s="91" t="s">
        <v>5115</v>
      </c>
      <c r="N1249" s="90" t="s">
        <v>5659</v>
      </c>
      <c r="O1249" s="90" t="str">
        <f t="shared" si="317"/>
        <v>Usaquén</v>
      </c>
      <c r="P1249" s="87" t="s">
        <v>428</v>
      </c>
      <c r="Q1249" s="87"/>
      <c r="R1249" s="87"/>
      <c r="S1249" s="87"/>
      <c r="T1249" s="87"/>
      <c r="U1249" s="87"/>
      <c r="V1249" s="90" t="str">
        <f t="shared" si="318"/>
        <v>Norte</v>
      </c>
      <c r="W1249" s="87" t="s">
        <v>429</v>
      </c>
      <c r="X1249" s="87"/>
      <c r="Y1249" s="87"/>
      <c r="Z1249" s="87"/>
      <c r="AA1249" s="87"/>
      <c r="AB1249" s="87"/>
      <c r="AC1249" s="90" t="str">
        <f t="shared" si="319"/>
        <v>Torca</v>
      </c>
      <c r="AD1249" s="87" t="s">
        <v>528</v>
      </c>
      <c r="AE1249" s="87"/>
      <c r="AF1249" s="87"/>
      <c r="AG1249" s="87"/>
      <c r="AH1249" s="87"/>
      <c r="AI1249" s="87"/>
      <c r="AJ1249" s="87"/>
      <c r="AK1249" s="87"/>
      <c r="AL1249" s="87"/>
      <c r="AM1249" s="87"/>
      <c r="AN1249" s="90" t="s">
        <v>5660</v>
      </c>
      <c r="AO1249" s="90" t="s">
        <v>5661</v>
      </c>
      <c r="AP1249" s="82"/>
      <c r="AQ1249" s="87" t="s">
        <v>59</v>
      </c>
      <c r="AR1249" s="87" t="s">
        <v>80</v>
      </c>
      <c r="AS1249" s="82"/>
      <c r="AT1249" s="87"/>
      <c r="AU1249" s="87"/>
      <c r="AV1249" s="87">
        <f t="shared" si="320"/>
        <v>0</v>
      </c>
      <c r="AW1249" s="87" t="str">
        <f t="shared" si="321"/>
        <v/>
      </c>
      <c r="AX1249" s="87"/>
      <c r="AY1249" s="87"/>
      <c r="AZ1249" s="87"/>
      <c r="BA1249" s="91"/>
      <c r="BB1249" s="84"/>
      <c r="BC1249" s="85"/>
      <c r="BD1249" s="85"/>
    </row>
    <row r="1250" spans="1:56" s="86" customFormat="1" ht="31.5" customHeight="1">
      <c r="A1250" s="78">
        <v>1245</v>
      </c>
      <c r="B1250" s="90" t="s">
        <v>5662</v>
      </c>
      <c r="C1250" s="88">
        <v>45624</v>
      </c>
      <c r="D1250" s="89">
        <v>0.375</v>
      </c>
      <c r="E1250" s="87" t="s">
        <v>58</v>
      </c>
      <c r="F1250" s="87" t="s">
        <v>2121</v>
      </c>
      <c r="G1250" s="87" t="s">
        <v>62</v>
      </c>
      <c r="H1250" s="90" t="s">
        <v>5663</v>
      </c>
      <c r="I1250" s="90" t="s">
        <v>118</v>
      </c>
      <c r="J1250" s="87" t="s">
        <v>119</v>
      </c>
      <c r="K1250" s="87" t="s">
        <v>610</v>
      </c>
      <c r="L1250" s="90" t="s">
        <v>72</v>
      </c>
      <c r="M1250" s="90" t="s">
        <v>72</v>
      </c>
      <c r="N1250" s="90" t="s">
        <v>72</v>
      </c>
      <c r="O1250" s="90" t="str">
        <f t="shared" si="317"/>
        <v>Distrital</v>
      </c>
      <c r="P1250" s="87" t="s">
        <v>73</v>
      </c>
      <c r="Q1250" s="87"/>
      <c r="R1250" s="87"/>
      <c r="S1250" s="87"/>
      <c r="T1250" s="87"/>
      <c r="U1250" s="87"/>
      <c r="V1250" s="90" t="str">
        <f t="shared" si="318"/>
        <v>Distrital</v>
      </c>
      <c r="W1250" s="87" t="s">
        <v>73</v>
      </c>
      <c r="X1250" s="87"/>
      <c r="Y1250" s="87"/>
      <c r="Z1250" s="87"/>
      <c r="AA1250" s="87"/>
      <c r="AB1250" s="87"/>
      <c r="AC1250" s="90" t="str">
        <f t="shared" si="319"/>
        <v>Distrital</v>
      </c>
      <c r="AD1250" s="87" t="s">
        <v>73</v>
      </c>
      <c r="AE1250" s="87"/>
      <c r="AF1250" s="87"/>
      <c r="AG1250" s="87"/>
      <c r="AH1250" s="87"/>
      <c r="AI1250" s="87"/>
      <c r="AJ1250" s="87"/>
      <c r="AK1250" s="87"/>
      <c r="AL1250" s="87"/>
      <c r="AM1250" s="87"/>
      <c r="AN1250" s="90" t="s">
        <v>5664</v>
      </c>
      <c r="AO1250" s="90" t="s">
        <v>5665</v>
      </c>
      <c r="AP1250" s="82"/>
      <c r="AQ1250" s="87" t="s">
        <v>59</v>
      </c>
      <c r="AR1250" s="87" t="s">
        <v>80</v>
      </c>
      <c r="AS1250" s="82"/>
      <c r="AT1250" s="87"/>
      <c r="AU1250" s="87"/>
      <c r="AV1250" s="87">
        <f t="shared" si="320"/>
        <v>0</v>
      </c>
      <c r="AW1250" s="87" t="str">
        <f t="shared" si="321"/>
        <v/>
      </c>
      <c r="AX1250" s="87"/>
      <c r="AY1250" s="87"/>
      <c r="AZ1250" s="87"/>
      <c r="BA1250" s="91"/>
      <c r="BB1250" s="84"/>
      <c r="BC1250" s="85"/>
      <c r="BD1250" s="85"/>
    </row>
    <row r="1251" spans="1:56" s="86" customFormat="1" ht="38.25" customHeight="1">
      <c r="A1251" s="87">
        <v>1246</v>
      </c>
      <c r="B1251" s="90" t="s">
        <v>5666</v>
      </c>
      <c r="C1251" s="88">
        <v>45628</v>
      </c>
      <c r="D1251" s="89">
        <v>0.54166666666666663</v>
      </c>
      <c r="E1251" s="87" t="s">
        <v>58</v>
      </c>
      <c r="F1251" s="87" t="s">
        <v>2121</v>
      </c>
      <c r="G1251" s="87" t="s">
        <v>62</v>
      </c>
      <c r="H1251" s="90" t="s">
        <v>5667</v>
      </c>
      <c r="I1251" s="90" t="s">
        <v>118</v>
      </c>
      <c r="J1251" s="87" t="s">
        <v>173</v>
      </c>
      <c r="K1251" s="87"/>
      <c r="L1251" s="90" t="s">
        <v>5668</v>
      </c>
      <c r="M1251" s="91" t="s">
        <v>4822</v>
      </c>
      <c r="N1251" s="90" t="s">
        <v>4823</v>
      </c>
      <c r="O1251" s="90" t="str">
        <f t="shared" si="317"/>
        <v>Distrital</v>
      </c>
      <c r="P1251" s="87" t="s">
        <v>73</v>
      </c>
      <c r="Q1251" s="87"/>
      <c r="R1251" s="87"/>
      <c r="S1251" s="87"/>
      <c r="T1251" s="87"/>
      <c r="U1251" s="87"/>
      <c r="V1251" s="90" t="str">
        <f t="shared" si="318"/>
        <v>Distrital</v>
      </c>
      <c r="W1251" s="87" t="s">
        <v>73</v>
      </c>
      <c r="X1251" s="87"/>
      <c r="Y1251" s="87"/>
      <c r="Z1251" s="87"/>
      <c r="AA1251" s="87"/>
      <c r="AB1251" s="87"/>
      <c r="AC1251" s="90" t="str">
        <f t="shared" si="319"/>
        <v>Distrital</v>
      </c>
      <c r="AD1251" s="87" t="s">
        <v>73</v>
      </c>
      <c r="AE1251" s="87"/>
      <c r="AF1251" s="87"/>
      <c r="AG1251" s="87"/>
      <c r="AH1251" s="87"/>
      <c r="AI1251" s="87"/>
      <c r="AJ1251" s="87"/>
      <c r="AK1251" s="87"/>
      <c r="AL1251" s="87"/>
      <c r="AM1251" s="87"/>
      <c r="AN1251" s="90" t="s">
        <v>80</v>
      </c>
      <c r="AO1251" s="90" t="s">
        <v>5669</v>
      </c>
      <c r="AP1251" s="82"/>
      <c r="AQ1251" s="87" t="s">
        <v>59</v>
      </c>
      <c r="AR1251" s="87" t="s">
        <v>80</v>
      </c>
      <c r="AS1251" s="82"/>
      <c r="AT1251" s="87"/>
      <c r="AU1251" s="87"/>
      <c r="AV1251" s="87">
        <f t="shared" si="320"/>
        <v>0</v>
      </c>
      <c r="AW1251" s="87" t="str">
        <f t="shared" si="321"/>
        <v/>
      </c>
      <c r="AX1251" s="87"/>
      <c r="AY1251" s="87"/>
      <c r="AZ1251" s="87"/>
      <c r="BA1251" s="91"/>
      <c r="BB1251" s="84"/>
      <c r="BC1251" s="85"/>
      <c r="BD1251" s="85"/>
    </row>
    <row r="1252" spans="1:56" s="86" customFormat="1" ht="47.25" customHeight="1">
      <c r="A1252" s="78">
        <v>1247</v>
      </c>
      <c r="B1252" s="90" t="s">
        <v>2568</v>
      </c>
      <c r="C1252" s="88">
        <v>45636</v>
      </c>
      <c r="D1252" s="89">
        <v>0.58333333333333337</v>
      </c>
      <c r="E1252" s="87" t="s">
        <v>93</v>
      </c>
      <c r="F1252" s="87" t="s">
        <v>321</v>
      </c>
      <c r="G1252" s="87" t="s">
        <v>62</v>
      </c>
      <c r="H1252" s="90" t="s">
        <v>5670</v>
      </c>
      <c r="I1252" s="90" t="s">
        <v>118</v>
      </c>
      <c r="J1252" s="87" t="s">
        <v>70</v>
      </c>
      <c r="K1252" s="87" t="s">
        <v>1810</v>
      </c>
      <c r="L1252" s="90" t="s">
        <v>2570</v>
      </c>
      <c r="M1252" s="91" t="s">
        <v>5671</v>
      </c>
      <c r="N1252" s="90" t="s">
        <v>5672</v>
      </c>
      <c r="O1252" s="90" t="str">
        <f t="shared" si="317"/>
        <v>Chapinero</v>
      </c>
      <c r="P1252" s="87" t="s">
        <v>221</v>
      </c>
      <c r="Q1252" s="87"/>
      <c r="R1252" s="87"/>
      <c r="S1252" s="87"/>
      <c r="T1252" s="87"/>
      <c r="U1252" s="87"/>
      <c r="V1252" s="90" t="str">
        <f t="shared" si="318"/>
        <v>Centro Ampliado</v>
      </c>
      <c r="W1252" s="87" t="s">
        <v>415</v>
      </c>
      <c r="X1252" s="87"/>
      <c r="Y1252" s="87"/>
      <c r="Z1252" s="87"/>
      <c r="AA1252" s="87"/>
      <c r="AB1252" s="87"/>
      <c r="AC1252" s="90" t="str">
        <f t="shared" si="319"/>
        <v>Chapinero</v>
      </c>
      <c r="AD1252" s="87" t="s">
        <v>221</v>
      </c>
      <c r="AE1252" s="87"/>
      <c r="AF1252" s="87"/>
      <c r="AG1252" s="87"/>
      <c r="AH1252" s="87"/>
      <c r="AI1252" s="87"/>
      <c r="AJ1252" s="87"/>
      <c r="AK1252" s="87"/>
      <c r="AL1252" s="87"/>
      <c r="AM1252" s="87"/>
      <c r="AN1252" s="90" t="s">
        <v>221</v>
      </c>
      <c r="AO1252" s="90" t="s">
        <v>5673</v>
      </c>
      <c r="AP1252" s="82"/>
      <c r="AQ1252" s="87" t="s">
        <v>59</v>
      </c>
      <c r="AR1252" s="87" t="s">
        <v>80</v>
      </c>
      <c r="AS1252" s="82"/>
      <c r="AT1252" s="87"/>
      <c r="AU1252" s="87"/>
      <c r="AV1252" s="87">
        <f t="shared" si="320"/>
        <v>0</v>
      </c>
      <c r="AW1252" s="87" t="s">
        <v>184</v>
      </c>
      <c r="AX1252" s="87"/>
      <c r="AY1252" s="87"/>
      <c r="AZ1252" s="87"/>
      <c r="BA1252" s="91"/>
      <c r="BB1252" s="84"/>
      <c r="BC1252" s="85"/>
      <c r="BD1252" s="85"/>
    </row>
    <row r="1253" spans="1:56" s="86" customFormat="1" ht="36.75" customHeight="1">
      <c r="A1253" s="87">
        <v>1248</v>
      </c>
      <c r="B1253" s="90" t="s">
        <v>819</v>
      </c>
      <c r="C1253" s="88">
        <v>45643</v>
      </c>
      <c r="D1253" s="89">
        <v>0.375</v>
      </c>
      <c r="E1253" s="87" t="s">
        <v>93</v>
      </c>
      <c r="F1253" s="87" t="s">
        <v>321</v>
      </c>
      <c r="G1253" s="87" t="s">
        <v>62</v>
      </c>
      <c r="H1253" s="90" t="s">
        <v>820</v>
      </c>
      <c r="I1253" s="90" t="s">
        <v>118</v>
      </c>
      <c r="J1253" s="87" t="s">
        <v>70</v>
      </c>
      <c r="K1253" s="87" t="s">
        <v>1810</v>
      </c>
      <c r="L1253" s="90" t="s">
        <v>2214</v>
      </c>
      <c r="M1253" s="91" t="s">
        <v>4679</v>
      </c>
      <c r="N1253" s="90" t="s">
        <v>2215</v>
      </c>
      <c r="O1253" s="90" t="str">
        <f t="shared" si="317"/>
        <v>Puente Aranda</v>
      </c>
      <c r="P1253" s="87" t="s">
        <v>823</v>
      </c>
      <c r="Q1253" s="87"/>
      <c r="R1253" s="87"/>
      <c r="S1253" s="87"/>
      <c r="T1253" s="87"/>
      <c r="U1253" s="87"/>
      <c r="V1253" s="90" t="str">
        <f t="shared" si="318"/>
        <v>Centro Ampliado</v>
      </c>
      <c r="W1253" s="87" t="s">
        <v>415</v>
      </c>
      <c r="X1253" s="87"/>
      <c r="Y1253" s="87"/>
      <c r="Z1253" s="87"/>
      <c r="AA1253" s="87"/>
      <c r="AB1253" s="87"/>
      <c r="AC1253" s="90" t="str">
        <f t="shared" si="319"/>
        <v>Puente Aranda</v>
      </c>
      <c r="AD1253" s="87" t="s">
        <v>823</v>
      </c>
      <c r="AE1253" s="87"/>
      <c r="AF1253" s="87"/>
      <c r="AG1253" s="87"/>
      <c r="AH1253" s="87"/>
      <c r="AI1253" s="87"/>
      <c r="AJ1253" s="87"/>
      <c r="AK1253" s="87"/>
      <c r="AL1253" s="87"/>
      <c r="AM1253" s="87"/>
      <c r="AN1253" s="90" t="s">
        <v>823</v>
      </c>
      <c r="AO1253" s="90" t="s">
        <v>5674</v>
      </c>
      <c r="AP1253" s="82"/>
      <c r="AQ1253" s="87" t="s">
        <v>59</v>
      </c>
      <c r="AR1253" s="87" t="s">
        <v>80</v>
      </c>
      <c r="AS1253" s="82"/>
      <c r="AT1253" s="87"/>
      <c r="AU1253" s="87"/>
      <c r="AV1253" s="87">
        <f t="shared" si="320"/>
        <v>0</v>
      </c>
      <c r="AW1253" s="87" t="str">
        <f t="shared" ref="AW1253:AW1292" si="322">_xlfn.TEXTJOIN(", ",TRUE,$AX1253:$AZ1253)</f>
        <v/>
      </c>
      <c r="AX1253" s="87"/>
      <c r="AY1253" s="87"/>
      <c r="AZ1253" s="87"/>
      <c r="BA1253" s="91"/>
      <c r="BB1253" s="84"/>
      <c r="BC1253" s="85"/>
      <c r="BD1253" s="85"/>
    </row>
    <row r="1254" spans="1:56" ht="14.25" customHeight="1">
      <c r="A1254" s="41"/>
      <c r="B1254" s="42"/>
      <c r="C1254" s="43"/>
      <c r="D1254" s="44"/>
      <c r="E1254" s="41"/>
      <c r="F1254" s="41"/>
      <c r="G1254" s="41"/>
      <c r="H1254" s="42"/>
      <c r="I1254" s="42"/>
      <c r="J1254" s="41"/>
      <c r="K1254" s="41"/>
      <c r="L1254" s="42"/>
      <c r="M1254" s="45"/>
      <c r="N1254" s="42"/>
      <c r="O1254" s="42" t="str">
        <f t="shared" si="317"/>
        <v/>
      </c>
      <c r="P1254" s="41"/>
      <c r="Q1254" s="41"/>
      <c r="R1254" s="41"/>
      <c r="S1254" s="41"/>
      <c r="T1254" s="41"/>
      <c r="U1254" s="41"/>
      <c r="V1254" s="42" t="str">
        <f t="shared" si="318"/>
        <v/>
      </c>
      <c r="W1254" s="41"/>
      <c r="X1254" s="41"/>
      <c r="Y1254" s="41"/>
      <c r="Z1254" s="41"/>
      <c r="AA1254" s="41"/>
      <c r="AB1254" s="41"/>
      <c r="AC1254" s="42" t="str">
        <f t="shared" si="319"/>
        <v/>
      </c>
      <c r="AD1254" s="41"/>
      <c r="AE1254" s="41"/>
      <c r="AF1254" s="41"/>
      <c r="AG1254" s="41"/>
      <c r="AH1254" s="41"/>
      <c r="AI1254" s="41"/>
      <c r="AJ1254" s="41"/>
      <c r="AK1254" s="41"/>
      <c r="AL1254" s="41"/>
      <c r="AM1254" s="41"/>
      <c r="AN1254" s="42"/>
      <c r="AO1254" s="42"/>
      <c r="AP1254" s="39"/>
      <c r="AQ1254" s="41"/>
      <c r="AR1254" s="41"/>
      <c r="AS1254" s="39"/>
      <c r="AT1254" s="41"/>
      <c r="AU1254" s="41"/>
      <c r="AV1254" s="41">
        <f t="shared" si="320"/>
        <v>0</v>
      </c>
      <c r="AW1254" s="41" t="str">
        <f t="shared" si="322"/>
        <v/>
      </c>
      <c r="AX1254" s="41"/>
      <c r="AY1254" s="41"/>
      <c r="AZ1254" s="41"/>
      <c r="BA1254" s="45"/>
      <c r="BB1254" s="24"/>
      <c r="BC1254" s="40"/>
      <c r="BD1254" s="40"/>
    </row>
    <row r="1255" spans="1:56" ht="14.25" customHeight="1">
      <c r="A1255" s="41"/>
      <c r="B1255" s="42"/>
      <c r="C1255" s="43"/>
      <c r="D1255" s="44"/>
      <c r="E1255" s="41"/>
      <c r="F1255" s="41"/>
      <c r="G1255" s="41"/>
      <c r="H1255" s="42"/>
      <c r="I1255" s="42"/>
      <c r="J1255" s="41"/>
      <c r="K1255" s="41"/>
      <c r="L1255" s="42"/>
      <c r="M1255" s="45"/>
      <c r="N1255" s="42"/>
      <c r="O1255" s="42" t="str">
        <f t="shared" si="317"/>
        <v/>
      </c>
      <c r="P1255" s="41"/>
      <c r="Q1255" s="41"/>
      <c r="R1255" s="41"/>
      <c r="S1255" s="41"/>
      <c r="T1255" s="41"/>
      <c r="U1255" s="41"/>
      <c r="V1255" s="42" t="str">
        <f t="shared" si="318"/>
        <v/>
      </c>
      <c r="W1255" s="41"/>
      <c r="X1255" s="41"/>
      <c r="Y1255" s="41"/>
      <c r="Z1255" s="41"/>
      <c r="AA1255" s="41"/>
      <c r="AB1255" s="41"/>
      <c r="AC1255" s="42" t="str">
        <f t="shared" si="319"/>
        <v/>
      </c>
      <c r="AD1255" s="41"/>
      <c r="AE1255" s="41"/>
      <c r="AF1255" s="41"/>
      <c r="AG1255" s="41"/>
      <c r="AH1255" s="41"/>
      <c r="AI1255" s="41"/>
      <c r="AJ1255" s="41"/>
      <c r="AK1255" s="41"/>
      <c r="AL1255" s="41"/>
      <c r="AM1255" s="41"/>
      <c r="AN1255" s="42"/>
      <c r="AO1255" s="42"/>
      <c r="AP1255" s="39"/>
      <c r="AQ1255" s="41"/>
      <c r="AR1255" s="41"/>
      <c r="AS1255" s="39"/>
      <c r="AT1255" s="41"/>
      <c r="AU1255" s="41"/>
      <c r="AV1255" s="41">
        <f t="shared" si="320"/>
        <v>0</v>
      </c>
      <c r="AW1255" s="41" t="str">
        <f t="shared" si="322"/>
        <v/>
      </c>
      <c r="AX1255" s="41"/>
      <c r="AY1255" s="41"/>
      <c r="AZ1255" s="41"/>
      <c r="BA1255" s="45"/>
      <c r="BB1255" s="24"/>
      <c r="BC1255" s="40"/>
      <c r="BD1255" s="40"/>
    </row>
    <row r="1256" spans="1:56" ht="14.25" customHeight="1">
      <c r="A1256" s="41"/>
      <c r="B1256" s="42"/>
      <c r="C1256" s="43"/>
      <c r="D1256" s="44"/>
      <c r="E1256" s="41"/>
      <c r="F1256" s="41"/>
      <c r="G1256" s="41"/>
      <c r="H1256" s="42"/>
      <c r="I1256" s="42"/>
      <c r="J1256" s="41"/>
      <c r="K1256" s="41"/>
      <c r="L1256" s="42"/>
      <c r="M1256" s="45"/>
      <c r="N1256" s="42"/>
      <c r="O1256" s="42" t="str">
        <f t="shared" si="317"/>
        <v/>
      </c>
      <c r="P1256" s="41"/>
      <c r="Q1256" s="41"/>
      <c r="R1256" s="41"/>
      <c r="S1256" s="41"/>
      <c r="T1256" s="41"/>
      <c r="U1256" s="41"/>
      <c r="V1256" s="42" t="str">
        <f t="shared" si="318"/>
        <v/>
      </c>
      <c r="W1256" s="41"/>
      <c r="X1256" s="41"/>
      <c r="Y1256" s="41"/>
      <c r="Z1256" s="41"/>
      <c r="AA1256" s="41"/>
      <c r="AB1256" s="41"/>
      <c r="AC1256" s="42" t="str">
        <f t="shared" si="319"/>
        <v/>
      </c>
      <c r="AD1256" s="41"/>
      <c r="AE1256" s="41"/>
      <c r="AF1256" s="41"/>
      <c r="AG1256" s="41"/>
      <c r="AH1256" s="41"/>
      <c r="AI1256" s="41"/>
      <c r="AJ1256" s="41"/>
      <c r="AK1256" s="41"/>
      <c r="AL1256" s="41"/>
      <c r="AM1256" s="41"/>
      <c r="AN1256" s="42"/>
      <c r="AO1256" s="42"/>
      <c r="AP1256" s="39"/>
      <c r="AQ1256" s="41"/>
      <c r="AR1256" s="41"/>
      <c r="AS1256" s="39"/>
      <c r="AT1256" s="41"/>
      <c r="AU1256" s="41"/>
      <c r="AV1256" s="41">
        <f t="shared" si="320"/>
        <v>0</v>
      </c>
      <c r="AW1256" s="41" t="str">
        <f t="shared" si="322"/>
        <v/>
      </c>
      <c r="AX1256" s="41"/>
      <c r="AY1256" s="41"/>
      <c r="AZ1256" s="41"/>
      <c r="BA1256" s="45"/>
      <c r="BB1256" s="24"/>
      <c r="BC1256" s="40"/>
      <c r="BD1256" s="40"/>
    </row>
    <row r="1257" spans="1:56" ht="14.25" customHeight="1">
      <c r="A1257" s="41"/>
      <c r="B1257" s="42"/>
      <c r="C1257" s="43"/>
      <c r="D1257" s="44"/>
      <c r="E1257" s="41"/>
      <c r="F1257" s="41"/>
      <c r="G1257" s="41"/>
      <c r="H1257" s="42"/>
      <c r="I1257" s="42"/>
      <c r="J1257" s="41"/>
      <c r="K1257" s="41"/>
      <c r="L1257" s="42"/>
      <c r="M1257" s="45"/>
      <c r="N1257" s="42"/>
      <c r="O1257" s="42" t="str">
        <f t="shared" si="317"/>
        <v/>
      </c>
      <c r="P1257" s="41"/>
      <c r="Q1257" s="41"/>
      <c r="R1257" s="41"/>
      <c r="S1257" s="41"/>
      <c r="T1257" s="41"/>
      <c r="U1257" s="41"/>
      <c r="V1257" s="42" t="str">
        <f t="shared" si="318"/>
        <v/>
      </c>
      <c r="W1257" s="41"/>
      <c r="X1257" s="41"/>
      <c r="Y1257" s="41"/>
      <c r="Z1257" s="41"/>
      <c r="AA1257" s="41"/>
      <c r="AB1257" s="41"/>
      <c r="AC1257" s="42" t="str">
        <f t="shared" si="319"/>
        <v/>
      </c>
      <c r="AD1257" s="41"/>
      <c r="AE1257" s="41"/>
      <c r="AF1257" s="41"/>
      <c r="AG1257" s="41"/>
      <c r="AH1257" s="41"/>
      <c r="AI1257" s="41"/>
      <c r="AJ1257" s="41"/>
      <c r="AK1257" s="41"/>
      <c r="AL1257" s="41"/>
      <c r="AM1257" s="41"/>
      <c r="AN1257" s="42"/>
      <c r="AO1257" s="42"/>
      <c r="AP1257" s="39"/>
      <c r="AQ1257" s="41"/>
      <c r="AR1257" s="41"/>
      <c r="AS1257" s="39"/>
      <c r="AT1257" s="41"/>
      <c r="AU1257" s="41"/>
      <c r="AV1257" s="41">
        <f t="shared" si="320"/>
        <v>0</v>
      </c>
      <c r="AW1257" s="41" t="str">
        <f t="shared" si="322"/>
        <v/>
      </c>
      <c r="AX1257" s="41"/>
      <c r="AY1257" s="41"/>
      <c r="AZ1257" s="41"/>
      <c r="BA1257" s="45"/>
      <c r="BB1257" s="24"/>
      <c r="BC1257" s="40"/>
      <c r="BD1257" s="40"/>
    </row>
    <row r="1258" spans="1:56" ht="14.25" customHeight="1">
      <c r="A1258" s="41"/>
      <c r="B1258" s="42"/>
      <c r="C1258" s="43"/>
      <c r="D1258" s="44"/>
      <c r="E1258" s="41"/>
      <c r="F1258" s="41"/>
      <c r="G1258" s="41"/>
      <c r="H1258" s="42"/>
      <c r="I1258" s="42"/>
      <c r="J1258" s="41"/>
      <c r="K1258" s="41"/>
      <c r="L1258" s="42"/>
      <c r="M1258" s="45"/>
      <c r="N1258" s="42"/>
      <c r="O1258" s="42" t="str">
        <f t="shared" si="317"/>
        <v/>
      </c>
      <c r="P1258" s="41"/>
      <c r="Q1258" s="41"/>
      <c r="R1258" s="41"/>
      <c r="S1258" s="41"/>
      <c r="T1258" s="41"/>
      <c r="U1258" s="41"/>
      <c r="V1258" s="42" t="str">
        <f t="shared" si="318"/>
        <v/>
      </c>
      <c r="W1258" s="41"/>
      <c r="X1258" s="41"/>
      <c r="Y1258" s="41"/>
      <c r="Z1258" s="41"/>
      <c r="AA1258" s="41"/>
      <c r="AB1258" s="41"/>
      <c r="AC1258" s="42" t="str">
        <f t="shared" si="319"/>
        <v/>
      </c>
      <c r="AD1258" s="41"/>
      <c r="AE1258" s="41"/>
      <c r="AF1258" s="41"/>
      <c r="AG1258" s="41"/>
      <c r="AH1258" s="41"/>
      <c r="AI1258" s="41"/>
      <c r="AJ1258" s="41"/>
      <c r="AK1258" s="41"/>
      <c r="AL1258" s="41"/>
      <c r="AM1258" s="41"/>
      <c r="AN1258" s="42"/>
      <c r="AO1258" s="42"/>
      <c r="AP1258" s="39"/>
      <c r="AQ1258" s="41"/>
      <c r="AR1258" s="41"/>
      <c r="AS1258" s="39"/>
      <c r="AT1258" s="41"/>
      <c r="AU1258" s="41"/>
      <c r="AV1258" s="41">
        <f t="shared" si="320"/>
        <v>0</v>
      </c>
      <c r="AW1258" s="41" t="str">
        <f t="shared" si="322"/>
        <v/>
      </c>
      <c r="AX1258" s="41"/>
      <c r="AY1258" s="41"/>
      <c r="AZ1258" s="41"/>
      <c r="BA1258" s="45"/>
      <c r="BB1258" s="24"/>
      <c r="BC1258" s="40"/>
      <c r="BD1258" s="40"/>
    </row>
    <row r="1259" spans="1:56" ht="14.25" customHeight="1">
      <c r="A1259" s="41"/>
      <c r="B1259" s="42"/>
      <c r="C1259" s="43"/>
      <c r="D1259" s="44"/>
      <c r="E1259" s="41"/>
      <c r="F1259" s="41"/>
      <c r="G1259" s="41"/>
      <c r="H1259" s="42"/>
      <c r="I1259" s="42"/>
      <c r="J1259" s="41"/>
      <c r="K1259" s="41"/>
      <c r="L1259" s="42"/>
      <c r="M1259" s="45"/>
      <c r="N1259" s="42"/>
      <c r="O1259" s="42" t="str">
        <f t="shared" si="317"/>
        <v/>
      </c>
      <c r="P1259" s="41"/>
      <c r="Q1259" s="41"/>
      <c r="R1259" s="41"/>
      <c r="S1259" s="41"/>
      <c r="T1259" s="41"/>
      <c r="U1259" s="41"/>
      <c r="V1259" s="42" t="str">
        <f t="shared" si="318"/>
        <v/>
      </c>
      <c r="W1259" s="41"/>
      <c r="X1259" s="41"/>
      <c r="Y1259" s="41"/>
      <c r="Z1259" s="41"/>
      <c r="AA1259" s="41"/>
      <c r="AB1259" s="41"/>
      <c r="AC1259" s="42" t="str">
        <f t="shared" si="319"/>
        <v/>
      </c>
      <c r="AD1259" s="41"/>
      <c r="AE1259" s="41"/>
      <c r="AF1259" s="41"/>
      <c r="AG1259" s="41"/>
      <c r="AH1259" s="41"/>
      <c r="AI1259" s="41"/>
      <c r="AJ1259" s="41"/>
      <c r="AK1259" s="41"/>
      <c r="AL1259" s="41"/>
      <c r="AM1259" s="41"/>
      <c r="AN1259" s="42"/>
      <c r="AO1259" s="42"/>
      <c r="AP1259" s="39"/>
      <c r="AQ1259" s="41"/>
      <c r="AR1259" s="41"/>
      <c r="AS1259" s="39"/>
      <c r="AT1259" s="41"/>
      <c r="AU1259" s="41"/>
      <c r="AV1259" s="41">
        <f t="shared" si="320"/>
        <v>0</v>
      </c>
      <c r="AW1259" s="41" t="str">
        <f t="shared" si="322"/>
        <v/>
      </c>
      <c r="AX1259" s="41"/>
      <c r="AY1259" s="41"/>
      <c r="AZ1259" s="41"/>
      <c r="BA1259" s="45"/>
      <c r="BB1259" s="24"/>
      <c r="BC1259" s="40"/>
      <c r="BD1259" s="40"/>
    </row>
    <row r="1260" spans="1:56" ht="14.25" customHeight="1">
      <c r="A1260" s="41"/>
      <c r="B1260" s="42"/>
      <c r="C1260" s="43"/>
      <c r="D1260" s="44"/>
      <c r="E1260" s="41"/>
      <c r="F1260" s="41"/>
      <c r="G1260" s="41"/>
      <c r="H1260" s="42"/>
      <c r="I1260" s="42"/>
      <c r="J1260" s="41"/>
      <c r="K1260" s="41"/>
      <c r="L1260" s="42"/>
      <c r="M1260" s="45"/>
      <c r="N1260" s="42"/>
      <c r="O1260" s="42" t="str">
        <f t="shared" si="317"/>
        <v/>
      </c>
      <c r="P1260" s="41"/>
      <c r="Q1260" s="41"/>
      <c r="R1260" s="41"/>
      <c r="S1260" s="41"/>
      <c r="T1260" s="41"/>
      <c r="U1260" s="41"/>
      <c r="V1260" s="42" t="str">
        <f t="shared" si="318"/>
        <v/>
      </c>
      <c r="W1260" s="41"/>
      <c r="X1260" s="41"/>
      <c r="Y1260" s="41"/>
      <c r="Z1260" s="41"/>
      <c r="AA1260" s="41"/>
      <c r="AB1260" s="41"/>
      <c r="AC1260" s="42" t="str">
        <f t="shared" si="319"/>
        <v/>
      </c>
      <c r="AD1260" s="41"/>
      <c r="AE1260" s="41"/>
      <c r="AF1260" s="41"/>
      <c r="AG1260" s="41"/>
      <c r="AH1260" s="41"/>
      <c r="AI1260" s="41"/>
      <c r="AJ1260" s="41"/>
      <c r="AK1260" s="41"/>
      <c r="AL1260" s="41"/>
      <c r="AM1260" s="41"/>
      <c r="AN1260" s="42"/>
      <c r="AO1260" s="42"/>
      <c r="AP1260" s="39"/>
      <c r="AQ1260" s="41"/>
      <c r="AR1260" s="41"/>
      <c r="AS1260" s="39"/>
      <c r="AT1260" s="41"/>
      <c r="AU1260" s="41"/>
      <c r="AV1260" s="41">
        <f t="shared" si="320"/>
        <v>0</v>
      </c>
      <c r="AW1260" s="41" t="str">
        <f t="shared" si="322"/>
        <v/>
      </c>
      <c r="AX1260" s="41"/>
      <c r="AY1260" s="41"/>
      <c r="AZ1260" s="41"/>
      <c r="BA1260" s="45"/>
      <c r="BB1260" s="24"/>
      <c r="BC1260" s="40"/>
      <c r="BD1260" s="40"/>
    </row>
    <row r="1261" spans="1:56" ht="14.25" customHeight="1">
      <c r="A1261" s="41"/>
      <c r="B1261" s="42"/>
      <c r="C1261" s="43"/>
      <c r="D1261" s="44"/>
      <c r="E1261" s="41"/>
      <c r="F1261" s="41"/>
      <c r="G1261" s="41"/>
      <c r="H1261" s="42"/>
      <c r="I1261" s="42"/>
      <c r="J1261" s="41"/>
      <c r="K1261" s="41"/>
      <c r="L1261" s="42"/>
      <c r="M1261" s="45"/>
      <c r="N1261" s="42"/>
      <c r="O1261" s="42" t="str">
        <f t="shared" si="317"/>
        <v/>
      </c>
      <c r="P1261" s="41"/>
      <c r="Q1261" s="41"/>
      <c r="R1261" s="41"/>
      <c r="S1261" s="41"/>
      <c r="T1261" s="41"/>
      <c r="U1261" s="41"/>
      <c r="V1261" s="42" t="str">
        <f t="shared" si="318"/>
        <v/>
      </c>
      <c r="W1261" s="41"/>
      <c r="X1261" s="41"/>
      <c r="Y1261" s="41"/>
      <c r="Z1261" s="41"/>
      <c r="AA1261" s="41"/>
      <c r="AB1261" s="41"/>
      <c r="AC1261" s="42" t="str">
        <f t="shared" si="319"/>
        <v/>
      </c>
      <c r="AD1261" s="41"/>
      <c r="AE1261" s="41"/>
      <c r="AF1261" s="41"/>
      <c r="AG1261" s="41"/>
      <c r="AH1261" s="41"/>
      <c r="AI1261" s="41"/>
      <c r="AJ1261" s="41"/>
      <c r="AK1261" s="41"/>
      <c r="AL1261" s="41"/>
      <c r="AM1261" s="41"/>
      <c r="AN1261" s="42"/>
      <c r="AO1261" s="42"/>
      <c r="AP1261" s="39"/>
      <c r="AQ1261" s="41"/>
      <c r="AR1261" s="41"/>
      <c r="AS1261" s="39"/>
      <c r="AT1261" s="41"/>
      <c r="AU1261" s="41"/>
      <c r="AV1261" s="41">
        <f t="shared" si="320"/>
        <v>0</v>
      </c>
      <c r="AW1261" s="41" t="str">
        <f t="shared" si="322"/>
        <v/>
      </c>
      <c r="AX1261" s="41"/>
      <c r="AY1261" s="41"/>
      <c r="AZ1261" s="41"/>
      <c r="BA1261" s="45"/>
      <c r="BB1261" s="24"/>
      <c r="BC1261" s="40"/>
      <c r="BD1261" s="40"/>
    </row>
    <row r="1262" spans="1:56" ht="14.25" customHeight="1">
      <c r="A1262" s="41"/>
      <c r="B1262" s="42"/>
      <c r="C1262" s="43"/>
      <c r="D1262" s="44"/>
      <c r="E1262" s="41"/>
      <c r="F1262" s="41"/>
      <c r="G1262" s="41"/>
      <c r="H1262" s="42"/>
      <c r="I1262" s="42"/>
      <c r="J1262" s="41"/>
      <c r="K1262" s="41"/>
      <c r="L1262" s="42"/>
      <c r="M1262" s="45"/>
      <c r="N1262" s="42"/>
      <c r="O1262" s="42" t="str">
        <f t="shared" si="317"/>
        <v/>
      </c>
      <c r="P1262" s="41"/>
      <c r="Q1262" s="41"/>
      <c r="R1262" s="41"/>
      <c r="S1262" s="41"/>
      <c r="T1262" s="41"/>
      <c r="U1262" s="41"/>
      <c r="V1262" s="42" t="str">
        <f t="shared" si="318"/>
        <v/>
      </c>
      <c r="W1262" s="41"/>
      <c r="X1262" s="41"/>
      <c r="Y1262" s="41"/>
      <c r="Z1262" s="41"/>
      <c r="AA1262" s="41"/>
      <c r="AB1262" s="41"/>
      <c r="AC1262" s="42" t="str">
        <f t="shared" si="319"/>
        <v/>
      </c>
      <c r="AD1262" s="41"/>
      <c r="AE1262" s="41"/>
      <c r="AF1262" s="41"/>
      <c r="AG1262" s="41"/>
      <c r="AH1262" s="41"/>
      <c r="AI1262" s="41"/>
      <c r="AJ1262" s="41"/>
      <c r="AK1262" s="41"/>
      <c r="AL1262" s="41"/>
      <c r="AM1262" s="41"/>
      <c r="AN1262" s="42"/>
      <c r="AO1262" s="42"/>
      <c r="AP1262" s="39"/>
      <c r="AQ1262" s="41"/>
      <c r="AR1262" s="41"/>
      <c r="AS1262" s="39"/>
      <c r="AT1262" s="41"/>
      <c r="AU1262" s="41"/>
      <c r="AV1262" s="41">
        <f t="shared" si="320"/>
        <v>0</v>
      </c>
      <c r="AW1262" s="41" t="str">
        <f t="shared" si="322"/>
        <v/>
      </c>
      <c r="AX1262" s="41"/>
      <c r="AY1262" s="41"/>
      <c r="AZ1262" s="41"/>
      <c r="BA1262" s="45"/>
      <c r="BB1262" s="24"/>
      <c r="BC1262" s="40"/>
      <c r="BD1262" s="40"/>
    </row>
    <row r="1263" spans="1:56" ht="14.25" customHeight="1">
      <c r="A1263" s="41"/>
      <c r="B1263" s="42"/>
      <c r="C1263" s="43"/>
      <c r="D1263" s="44"/>
      <c r="E1263" s="41"/>
      <c r="F1263" s="41"/>
      <c r="G1263" s="41"/>
      <c r="H1263" s="42"/>
      <c r="I1263" s="42"/>
      <c r="J1263" s="41"/>
      <c r="K1263" s="41"/>
      <c r="L1263" s="42"/>
      <c r="M1263" s="45"/>
      <c r="N1263" s="42"/>
      <c r="O1263" s="42" t="str">
        <f t="shared" si="317"/>
        <v/>
      </c>
      <c r="P1263" s="41"/>
      <c r="Q1263" s="41"/>
      <c r="R1263" s="41"/>
      <c r="S1263" s="41"/>
      <c r="T1263" s="41"/>
      <c r="U1263" s="41"/>
      <c r="V1263" s="42" t="str">
        <f t="shared" si="318"/>
        <v/>
      </c>
      <c r="W1263" s="41"/>
      <c r="X1263" s="41"/>
      <c r="Y1263" s="41"/>
      <c r="Z1263" s="41"/>
      <c r="AA1263" s="41"/>
      <c r="AB1263" s="41"/>
      <c r="AC1263" s="42" t="str">
        <f t="shared" si="319"/>
        <v/>
      </c>
      <c r="AD1263" s="41"/>
      <c r="AE1263" s="41"/>
      <c r="AF1263" s="41"/>
      <c r="AG1263" s="41"/>
      <c r="AH1263" s="41"/>
      <c r="AI1263" s="41"/>
      <c r="AJ1263" s="41"/>
      <c r="AK1263" s="41"/>
      <c r="AL1263" s="41"/>
      <c r="AM1263" s="41"/>
      <c r="AN1263" s="42"/>
      <c r="AO1263" s="42"/>
      <c r="AP1263" s="39"/>
      <c r="AQ1263" s="41"/>
      <c r="AR1263" s="41"/>
      <c r="AS1263" s="39"/>
      <c r="AT1263" s="41"/>
      <c r="AU1263" s="41"/>
      <c r="AV1263" s="41">
        <f t="shared" si="320"/>
        <v>0</v>
      </c>
      <c r="AW1263" s="41" t="str">
        <f t="shared" si="322"/>
        <v/>
      </c>
      <c r="AX1263" s="41"/>
      <c r="AY1263" s="41"/>
      <c r="AZ1263" s="41"/>
      <c r="BA1263" s="45"/>
      <c r="BB1263" s="24"/>
      <c r="BC1263" s="40"/>
      <c r="BD1263" s="40"/>
    </row>
    <row r="1264" spans="1:56" ht="14.25" customHeight="1">
      <c r="A1264" s="41"/>
      <c r="B1264" s="42"/>
      <c r="C1264" s="43"/>
      <c r="D1264" s="44"/>
      <c r="E1264" s="41"/>
      <c r="F1264" s="41"/>
      <c r="G1264" s="41"/>
      <c r="H1264" s="42"/>
      <c r="I1264" s="42"/>
      <c r="J1264" s="41"/>
      <c r="K1264" s="41"/>
      <c r="L1264" s="42"/>
      <c r="M1264" s="45"/>
      <c r="N1264" s="42"/>
      <c r="O1264" s="42" t="str">
        <f t="shared" si="317"/>
        <v/>
      </c>
      <c r="P1264" s="41"/>
      <c r="Q1264" s="41"/>
      <c r="R1264" s="41"/>
      <c r="S1264" s="41"/>
      <c r="T1264" s="41"/>
      <c r="U1264" s="41"/>
      <c r="V1264" s="42" t="str">
        <f t="shared" si="318"/>
        <v/>
      </c>
      <c r="W1264" s="41"/>
      <c r="X1264" s="41"/>
      <c r="Y1264" s="41"/>
      <c r="Z1264" s="41"/>
      <c r="AA1264" s="41"/>
      <c r="AB1264" s="41"/>
      <c r="AC1264" s="42" t="str">
        <f t="shared" si="319"/>
        <v/>
      </c>
      <c r="AD1264" s="41"/>
      <c r="AE1264" s="41"/>
      <c r="AF1264" s="41"/>
      <c r="AG1264" s="41"/>
      <c r="AH1264" s="41"/>
      <c r="AI1264" s="41"/>
      <c r="AJ1264" s="41"/>
      <c r="AK1264" s="41"/>
      <c r="AL1264" s="41"/>
      <c r="AM1264" s="41"/>
      <c r="AN1264" s="42"/>
      <c r="AO1264" s="42"/>
      <c r="AP1264" s="39"/>
      <c r="AQ1264" s="41"/>
      <c r="AR1264" s="41"/>
      <c r="AS1264" s="39"/>
      <c r="AT1264" s="41"/>
      <c r="AU1264" s="41"/>
      <c r="AV1264" s="41">
        <f t="shared" si="320"/>
        <v>0</v>
      </c>
      <c r="AW1264" s="41" t="str">
        <f t="shared" si="322"/>
        <v/>
      </c>
      <c r="AX1264" s="41"/>
      <c r="AY1264" s="41"/>
      <c r="AZ1264" s="41"/>
      <c r="BA1264" s="45"/>
      <c r="BB1264" s="24"/>
      <c r="BC1264" s="40"/>
      <c r="BD1264" s="40"/>
    </row>
    <row r="1265" spans="1:56" ht="14.25" customHeight="1">
      <c r="A1265" s="41"/>
      <c r="B1265" s="42"/>
      <c r="C1265" s="43"/>
      <c r="D1265" s="44"/>
      <c r="E1265" s="41"/>
      <c r="F1265" s="41"/>
      <c r="G1265" s="41"/>
      <c r="H1265" s="42"/>
      <c r="I1265" s="42"/>
      <c r="J1265" s="41"/>
      <c r="K1265" s="41"/>
      <c r="L1265" s="42"/>
      <c r="M1265" s="45"/>
      <c r="N1265" s="42"/>
      <c r="O1265" s="42" t="str">
        <f t="shared" si="317"/>
        <v/>
      </c>
      <c r="P1265" s="41"/>
      <c r="Q1265" s="41"/>
      <c r="R1265" s="41"/>
      <c r="S1265" s="41"/>
      <c r="T1265" s="41"/>
      <c r="U1265" s="41"/>
      <c r="V1265" s="42" t="str">
        <f t="shared" si="318"/>
        <v/>
      </c>
      <c r="W1265" s="41"/>
      <c r="X1265" s="41"/>
      <c r="Y1265" s="41"/>
      <c r="Z1265" s="41"/>
      <c r="AA1265" s="41"/>
      <c r="AB1265" s="41"/>
      <c r="AC1265" s="42" t="str">
        <f t="shared" si="319"/>
        <v/>
      </c>
      <c r="AD1265" s="41"/>
      <c r="AE1265" s="41"/>
      <c r="AF1265" s="41"/>
      <c r="AG1265" s="41"/>
      <c r="AH1265" s="41"/>
      <c r="AI1265" s="41"/>
      <c r="AJ1265" s="41"/>
      <c r="AK1265" s="41"/>
      <c r="AL1265" s="41"/>
      <c r="AM1265" s="41"/>
      <c r="AN1265" s="42"/>
      <c r="AO1265" s="42"/>
      <c r="AP1265" s="39"/>
      <c r="AQ1265" s="41"/>
      <c r="AR1265" s="41"/>
      <c r="AS1265" s="39"/>
      <c r="AT1265" s="41"/>
      <c r="AU1265" s="41"/>
      <c r="AV1265" s="41">
        <f t="shared" si="320"/>
        <v>0</v>
      </c>
      <c r="AW1265" s="41" t="str">
        <f t="shared" si="322"/>
        <v/>
      </c>
      <c r="AX1265" s="41"/>
      <c r="AY1265" s="41"/>
      <c r="AZ1265" s="41"/>
      <c r="BA1265" s="45"/>
      <c r="BB1265" s="24"/>
      <c r="BC1265" s="40"/>
      <c r="BD1265" s="40"/>
    </row>
    <row r="1266" spans="1:56" ht="14.25" customHeight="1">
      <c r="A1266" s="41"/>
      <c r="B1266" s="42"/>
      <c r="C1266" s="43"/>
      <c r="D1266" s="44"/>
      <c r="E1266" s="41"/>
      <c r="F1266" s="41"/>
      <c r="G1266" s="41"/>
      <c r="H1266" s="42"/>
      <c r="I1266" s="42"/>
      <c r="J1266" s="41"/>
      <c r="K1266" s="41"/>
      <c r="L1266" s="42"/>
      <c r="M1266" s="45"/>
      <c r="N1266" s="42"/>
      <c r="O1266" s="42" t="str">
        <f t="shared" si="317"/>
        <v/>
      </c>
      <c r="P1266" s="41"/>
      <c r="Q1266" s="41"/>
      <c r="R1266" s="41"/>
      <c r="S1266" s="41"/>
      <c r="T1266" s="41"/>
      <c r="U1266" s="41"/>
      <c r="V1266" s="42" t="str">
        <f t="shared" si="318"/>
        <v/>
      </c>
      <c r="W1266" s="41"/>
      <c r="X1266" s="41"/>
      <c r="Y1266" s="41"/>
      <c r="Z1266" s="41"/>
      <c r="AA1266" s="41"/>
      <c r="AB1266" s="41"/>
      <c r="AC1266" s="42" t="str">
        <f t="shared" si="319"/>
        <v/>
      </c>
      <c r="AD1266" s="41"/>
      <c r="AE1266" s="41"/>
      <c r="AF1266" s="41"/>
      <c r="AG1266" s="41"/>
      <c r="AH1266" s="41"/>
      <c r="AI1266" s="41"/>
      <c r="AJ1266" s="41"/>
      <c r="AK1266" s="41"/>
      <c r="AL1266" s="41"/>
      <c r="AM1266" s="41"/>
      <c r="AN1266" s="42"/>
      <c r="AO1266" s="42"/>
      <c r="AP1266" s="39"/>
      <c r="AQ1266" s="41"/>
      <c r="AR1266" s="41"/>
      <c r="AS1266" s="39"/>
      <c r="AT1266" s="41"/>
      <c r="AU1266" s="41"/>
      <c r="AV1266" s="41">
        <f t="shared" si="320"/>
        <v>0</v>
      </c>
      <c r="AW1266" s="41" t="str">
        <f t="shared" si="322"/>
        <v/>
      </c>
      <c r="AX1266" s="41"/>
      <c r="AY1266" s="41"/>
      <c r="AZ1266" s="41"/>
      <c r="BA1266" s="45"/>
      <c r="BB1266" s="24"/>
      <c r="BC1266" s="40"/>
      <c r="BD1266" s="40"/>
    </row>
    <row r="1267" spans="1:56" ht="14.25" customHeight="1">
      <c r="A1267" s="41"/>
      <c r="B1267" s="42"/>
      <c r="C1267" s="43"/>
      <c r="D1267" s="44"/>
      <c r="E1267" s="41"/>
      <c r="F1267" s="41"/>
      <c r="G1267" s="41"/>
      <c r="H1267" s="42"/>
      <c r="I1267" s="42"/>
      <c r="J1267" s="41"/>
      <c r="K1267" s="41"/>
      <c r="L1267" s="42"/>
      <c r="M1267" s="45"/>
      <c r="N1267" s="42"/>
      <c r="O1267" s="42" t="str">
        <f t="shared" si="317"/>
        <v/>
      </c>
      <c r="P1267" s="41"/>
      <c r="Q1267" s="41"/>
      <c r="R1267" s="41"/>
      <c r="S1267" s="41"/>
      <c r="T1267" s="41"/>
      <c r="U1267" s="41"/>
      <c r="V1267" s="42" t="str">
        <f t="shared" si="318"/>
        <v/>
      </c>
      <c r="W1267" s="41"/>
      <c r="X1267" s="41"/>
      <c r="Y1267" s="41"/>
      <c r="Z1267" s="41"/>
      <c r="AA1267" s="41"/>
      <c r="AB1267" s="41"/>
      <c r="AC1267" s="42" t="str">
        <f t="shared" si="319"/>
        <v/>
      </c>
      <c r="AD1267" s="41"/>
      <c r="AE1267" s="41"/>
      <c r="AF1267" s="41"/>
      <c r="AG1267" s="41"/>
      <c r="AH1267" s="41"/>
      <c r="AI1267" s="41"/>
      <c r="AJ1267" s="41"/>
      <c r="AK1267" s="41"/>
      <c r="AL1267" s="41"/>
      <c r="AM1267" s="41"/>
      <c r="AN1267" s="42"/>
      <c r="AO1267" s="42"/>
      <c r="AP1267" s="39"/>
      <c r="AQ1267" s="41"/>
      <c r="AR1267" s="41"/>
      <c r="AS1267" s="39"/>
      <c r="AT1267" s="41"/>
      <c r="AU1267" s="41"/>
      <c r="AV1267" s="41">
        <f t="shared" si="320"/>
        <v>0</v>
      </c>
      <c r="AW1267" s="41" t="str">
        <f t="shared" si="322"/>
        <v/>
      </c>
      <c r="AX1267" s="41"/>
      <c r="AY1267" s="41"/>
      <c r="AZ1267" s="41"/>
      <c r="BA1267" s="45"/>
      <c r="BB1267" s="24"/>
      <c r="BC1267" s="40"/>
      <c r="BD1267" s="40"/>
    </row>
    <row r="1268" spans="1:56" ht="14.25" customHeight="1">
      <c r="A1268" s="41"/>
      <c r="B1268" s="42"/>
      <c r="C1268" s="43"/>
      <c r="D1268" s="44"/>
      <c r="E1268" s="41"/>
      <c r="F1268" s="41"/>
      <c r="G1268" s="41"/>
      <c r="H1268" s="42"/>
      <c r="I1268" s="42"/>
      <c r="J1268" s="41"/>
      <c r="K1268" s="41"/>
      <c r="L1268" s="42"/>
      <c r="M1268" s="45"/>
      <c r="N1268" s="42"/>
      <c r="O1268" s="42" t="str">
        <f t="shared" si="317"/>
        <v/>
      </c>
      <c r="P1268" s="41"/>
      <c r="Q1268" s="41"/>
      <c r="R1268" s="41"/>
      <c r="S1268" s="41"/>
      <c r="T1268" s="41"/>
      <c r="U1268" s="41"/>
      <c r="V1268" s="42" t="str">
        <f t="shared" si="318"/>
        <v/>
      </c>
      <c r="W1268" s="41"/>
      <c r="X1268" s="41"/>
      <c r="Y1268" s="41"/>
      <c r="Z1268" s="41"/>
      <c r="AA1268" s="41"/>
      <c r="AB1268" s="41"/>
      <c r="AC1268" s="42" t="str">
        <f t="shared" si="319"/>
        <v/>
      </c>
      <c r="AD1268" s="41"/>
      <c r="AE1268" s="41"/>
      <c r="AF1268" s="41"/>
      <c r="AG1268" s="41"/>
      <c r="AH1268" s="41"/>
      <c r="AI1268" s="41"/>
      <c r="AJ1268" s="41"/>
      <c r="AK1268" s="41"/>
      <c r="AL1268" s="41"/>
      <c r="AM1268" s="41"/>
      <c r="AN1268" s="42"/>
      <c r="AO1268" s="42"/>
      <c r="AP1268" s="39"/>
      <c r="AQ1268" s="41"/>
      <c r="AR1268" s="41"/>
      <c r="AS1268" s="39"/>
      <c r="AT1268" s="41"/>
      <c r="AU1268" s="41"/>
      <c r="AV1268" s="41">
        <f t="shared" si="320"/>
        <v>0</v>
      </c>
      <c r="AW1268" s="41" t="str">
        <f t="shared" si="322"/>
        <v/>
      </c>
      <c r="AX1268" s="41"/>
      <c r="AY1268" s="41"/>
      <c r="AZ1268" s="41"/>
      <c r="BA1268" s="45"/>
      <c r="BB1268" s="24"/>
      <c r="BC1268" s="40"/>
      <c r="BD1268" s="40"/>
    </row>
    <row r="1269" spans="1:56" ht="14.25" customHeight="1">
      <c r="A1269" s="41"/>
      <c r="B1269" s="42"/>
      <c r="C1269" s="43"/>
      <c r="D1269" s="44"/>
      <c r="E1269" s="41"/>
      <c r="F1269" s="41"/>
      <c r="G1269" s="41"/>
      <c r="H1269" s="42"/>
      <c r="I1269" s="42"/>
      <c r="J1269" s="41"/>
      <c r="K1269" s="41"/>
      <c r="L1269" s="42"/>
      <c r="M1269" s="45"/>
      <c r="N1269" s="42"/>
      <c r="O1269" s="42" t="str">
        <f t="shared" si="317"/>
        <v/>
      </c>
      <c r="P1269" s="41"/>
      <c r="Q1269" s="41"/>
      <c r="R1269" s="41"/>
      <c r="S1269" s="41"/>
      <c r="T1269" s="41"/>
      <c r="U1269" s="41"/>
      <c r="V1269" s="42" t="str">
        <f t="shared" si="318"/>
        <v/>
      </c>
      <c r="W1269" s="41"/>
      <c r="X1269" s="41"/>
      <c r="Y1269" s="41"/>
      <c r="Z1269" s="41"/>
      <c r="AA1269" s="41"/>
      <c r="AB1269" s="41"/>
      <c r="AC1269" s="42" t="str">
        <f t="shared" si="319"/>
        <v/>
      </c>
      <c r="AD1269" s="41"/>
      <c r="AE1269" s="41"/>
      <c r="AF1269" s="41"/>
      <c r="AG1269" s="41"/>
      <c r="AH1269" s="41"/>
      <c r="AI1269" s="41"/>
      <c r="AJ1269" s="41"/>
      <c r="AK1269" s="41"/>
      <c r="AL1269" s="41"/>
      <c r="AM1269" s="41"/>
      <c r="AN1269" s="42"/>
      <c r="AO1269" s="42"/>
      <c r="AP1269" s="39"/>
      <c r="AQ1269" s="41"/>
      <c r="AR1269" s="41"/>
      <c r="AS1269" s="39"/>
      <c r="AT1269" s="41"/>
      <c r="AU1269" s="41"/>
      <c r="AV1269" s="41">
        <f t="shared" si="320"/>
        <v>0</v>
      </c>
      <c r="AW1269" s="41" t="str">
        <f t="shared" si="322"/>
        <v/>
      </c>
      <c r="AX1269" s="41"/>
      <c r="AY1269" s="41"/>
      <c r="AZ1269" s="41"/>
      <c r="BA1269" s="45"/>
      <c r="BB1269" s="24"/>
      <c r="BC1269" s="40"/>
      <c r="BD1269" s="40"/>
    </row>
    <row r="1270" spans="1:56" ht="14.25" customHeight="1">
      <c r="A1270" s="41"/>
      <c r="B1270" s="42"/>
      <c r="C1270" s="43"/>
      <c r="D1270" s="44"/>
      <c r="E1270" s="41"/>
      <c r="F1270" s="41"/>
      <c r="G1270" s="41"/>
      <c r="H1270" s="42"/>
      <c r="I1270" s="42"/>
      <c r="J1270" s="41"/>
      <c r="K1270" s="41"/>
      <c r="L1270" s="42"/>
      <c r="M1270" s="45"/>
      <c r="N1270" s="42"/>
      <c r="O1270" s="42" t="str">
        <f t="shared" si="317"/>
        <v/>
      </c>
      <c r="P1270" s="41"/>
      <c r="Q1270" s="41"/>
      <c r="R1270" s="41"/>
      <c r="S1270" s="41"/>
      <c r="T1270" s="41"/>
      <c r="U1270" s="41"/>
      <c r="V1270" s="42" t="str">
        <f t="shared" si="318"/>
        <v/>
      </c>
      <c r="W1270" s="41"/>
      <c r="X1270" s="41"/>
      <c r="Y1270" s="41"/>
      <c r="Z1270" s="41"/>
      <c r="AA1270" s="41"/>
      <c r="AB1270" s="41"/>
      <c r="AC1270" s="42" t="str">
        <f t="shared" si="319"/>
        <v/>
      </c>
      <c r="AD1270" s="41"/>
      <c r="AE1270" s="41"/>
      <c r="AF1270" s="41"/>
      <c r="AG1270" s="41"/>
      <c r="AH1270" s="41"/>
      <c r="AI1270" s="41"/>
      <c r="AJ1270" s="41"/>
      <c r="AK1270" s="41"/>
      <c r="AL1270" s="41"/>
      <c r="AM1270" s="41"/>
      <c r="AN1270" s="42"/>
      <c r="AO1270" s="42"/>
      <c r="AP1270" s="39"/>
      <c r="AQ1270" s="41"/>
      <c r="AR1270" s="41"/>
      <c r="AS1270" s="39"/>
      <c r="AT1270" s="41"/>
      <c r="AU1270" s="41"/>
      <c r="AV1270" s="41">
        <f t="shared" si="320"/>
        <v>0</v>
      </c>
      <c r="AW1270" s="41" t="str">
        <f t="shared" si="322"/>
        <v/>
      </c>
      <c r="AX1270" s="41"/>
      <c r="AY1270" s="41"/>
      <c r="AZ1270" s="41"/>
      <c r="BA1270" s="45"/>
      <c r="BB1270" s="24"/>
      <c r="BC1270" s="40"/>
      <c r="BD1270" s="40"/>
    </row>
    <row r="1271" spans="1:56" ht="14.25" customHeight="1">
      <c r="A1271" s="41"/>
      <c r="B1271" s="42"/>
      <c r="C1271" s="43"/>
      <c r="D1271" s="44"/>
      <c r="E1271" s="41"/>
      <c r="F1271" s="41"/>
      <c r="G1271" s="41"/>
      <c r="H1271" s="42"/>
      <c r="I1271" s="42"/>
      <c r="J1271" s="41"/>
      <c r="K1271" s="41"/>
      <c r="L1271" s="42"/>
      <c r="M1271" s="45"/>
      <c r="N1271" s="42"/>
      <c r="O1271" s="42" t="str">
        <f t="shared" ref="O1271:O1292" si="323">_xlfn.TEXTJOIN(", ",TRUE,$P1271:$T1271)</f>
        <v/>
      </c>
      <c r="P1271" s="41"/>
      <c r="Q1271" s="41"/>
      <c r="R1271" s="41"/>
      <c r="S1271" s="41"/>
      <c r="T1271" s="41"/>
      <c r="U1271" s="41"/>
      <c r="V1271" s="42" t="str">
        <f t="shared" ref="V1271:V1292" si="324">_xlfn.TEXTJOIN(", ",TRUE,$W1271:$AB1271)</f>
        <v/>
      </c>
      <c r="W1271" s="41"/>
      <c r="X1271" s="41"/>
      <c r="Y1271" s="41"/>
      <c r="Z1271" s="41"/>
      <c r="AA1271" s="41"/>
      <c r="AB1271" s="41"/>
      <c r="AC1271" s="42" t="str">
        <f t="shared" ref="AC1271:AC1292" si="325">_xlfn.TEXTJOIN(", ",TRUE,$AD1271:$AM1271)</f>
        <v/>
      </c>
      <c r="AD1271" s="41"/>
      <c r="AE1271" s="41"/>
      <c r="AF1271" s="41"/>
      <c r="AG1271" s="41"/>
      <c r="AH1271" s="41"/>
      <c r="AI1271" s="41"/>
      <c r="AJ1271" s="41"/>
      <c r="AK1271" s="41"/>
      <c r="AL1271" s="41"/>
      <c r="AM1271" s="41"/>
      <c r="AN1271" s="42"/>
      <c r="AO1271" s="42"/>
      <c r="AP1271" s="39"/>
      <c r="AQ1271" s="41"/>
      <c r="AR1271" s="41"/>
      <c r="AS1271" s="39"/>
      <c r="AT1271" s="41"/>
      <c r="AU1271" s="41"/>
      <c r="AV1271" s="41">
        <f t="shared" ref="AV1271:AV1302" si="326">AT1271+AU1271</f>
        <v>0</v>
      </c>
      <c r="AW1271" s="41" t="str">
        <f t="shared" si="322"/>
        <v/>
      </c>
      <c r="AX1271" s="41"/>
      <c r="AY1271" s="41"/>
      <c r="AZ1271" s="41"/>
      <c r="BA1271" s="45"/>
      <c r="BB1271" s="24"/>
      <c r="BC1271" s="40"/>
      <c r="BD1271" s="40"/>
    </row>
    <row r="1272" spans="1:56" ht="14.25" customHeight="1">
      <c r="A1272" s="41"/>
      <c r="B1272" s="42"/>
      <c r="C1272" s="43"/>
      <c r="D1272" s="44"/>
      <c r="E1272" s="41"/>
      <c r="F1272" s="41"/>
      <c r="G1272" s="41"/>
      <c r="H1272" s="42"/>
      <c r="I1272" s="42"/>
      <c r="J1272" s="41"/>
      <c r="K1272" s="41"/>
      <c r="L1272" s="42"/>
      <c r="M1272" s="45"/>
      <c r="N1272" s="42"/>
      <c r="O1272" s="42" t="str">
        <f t="shared" si="323"/>
        <v/>
      </c>
      <c r="P1272" s="41"/>
      <c r="Q1272" s="41"/>
      <c r="R1272" s="41"/>
      <c r="S1272" s="41"/>
      <c r="T1272" s="41"/>
      <c r="U1272" s="41"/>
      <c r="V1272" s="42" t="str">
        <f t="shared" si="324"/>
        <v/>
      </c>
      <c r="W1272" s="41"/>
      <c r="X1272" s="41"/>
      <c r="Y1272" s="41"/>
      <c r="Z1272" s="41"/>
      <c r="AA1272" s="41"/>
      <c r="AB1272" s="41"/>
      <c r="AC1272" s="42" t="str">
        <f t="shared" si="325"/>
        <v/>
      </c>
      <c r="AD1272" s="41"/>
      <c r="AE1272" s="41"/>
      <c r="AF1272" s="41"/>
      <c r="AG1272" s="41"/>
      <c r="AH1272" s="41"/>
      <c r="AI1272" s="41"/>
      <c r="AJ1272" s="41"/>
      <c r="AK1272" s="41"/>
      <c r="AL1272" s="41"/>
      <c r="AM1272" s="41"/>
      <c r="AN1272" s="42"/>
      <c r="AO1272" s="42"/>
      <c r="AP1272" s="39"/>
      <c r="AQ1272" s="41"/>
      <c r="AR1272" s="41"/>
      <c r="AS1272" s="39"/>
      <c r="AT1272" s="41"/>
      <c r="AU1272" s="41"/>
      <c r="AV1272" s="41">
        <f t="shared" si="326"/>
        <v>0</v>
      </c>
      <c r="AW1272" s="41" t="str">
        <f t="shared" si="322"/>
        <v/>
      </c>
      <c r="AX1272" s="41"/>
      <c r="AY1272" s="41"/>
      <c r="AZ1272" s="41"/>
      <c r="BA1272" s="45"/>
      <c r="BB1272" s="24"/>
      <c r="BC1272" s="40"/>
      <c r="BD1272" s="40"/>
    </row>
    <row r="1273" spans="1:56" ht="14.25" customHeight="1">
      <c r="A1273" s="41"/>
      <c r="B1273" s="42"/>
      <c r="C1273" s="43"/>
      <c r="D1273" s="44"/>
      <c r="E1273" s="41"/>
      <c r="F1273" s="41"/>
      <c r="G1273" s="41"/>
      <c r="H1273" s="42"/>
      <c r="I1273" s="42"/>
      <c r="J1273" s="41"/>
      <c r="K1273" s="41"/>
      <c r="L1273" s="42"/>
      <c r="M1273" s="45"/>
      <c r="N1273" s="42"/>
      <c r="O1273" s="42" t="str">
        <f t="shared" si="323"/>
        <v/>
      </c>
      <c r="P1273" s="41"/>
      <c r="Q1273" s="41"/>
      <c r="R1273" s="41"/>
      <c r="S1273" s="41"/>
      <c r="T1273" s="41"/>
      <c r="U1273" s="41"/>
      <c r="V1273" s="42" t="str">
        <f t="shared" si="324"/>
        <v/>
      </c>
      <c r="W1273" s="41"/>
      <c r="X1273" s="41"/>
      <c r="Y1273" s="41"/>
      <c r="Z1273" s="41"/>
      <c r="AA1273" s="41"/>
      <c r="AB1273" s="41"/>
      <c r="AC1273" s="42" t="str">
        <f t="shared" si="325"/>
        <v/>
      </c>
      <c r="AD1273" s="41"/>
      <c r="AE1273" s="41"/>
      <c r="AF1273" s="41"/>
      <c r="AG1273" s="41"/>
      <c r="AH1273" s="41"/>
      <c r="AI1273" s="41"/>
      <c r="AJ1273" s="41"/>
      <c r="AK1273" s="41"/>
      <c r="AL1273" s="41"/>
      <c r="AM1273" s="41"/>
      <c r="AN1273" s="42"/>
      <c r="AO1273" s="42"/>
      <c r="AP1273" s="39"/>
      <c r="AQ1273" s="41"/>
      <c r="AR1273" s="41"/>
      <c r="AS1273" s="39"/>
      <c r="AT1273" s="41"/>
      <c r="AU1273" s="41"/>
      <c r="AV1273" s="41">
        <f t="shared" si="326"/>
        <v>0</v>
      </c>
      <c r="AW1273" s="41" t="str">
        <f t="shared" si="322"/>
        <v/>
      </c>
      <c r="AX1273" s="41"/>
      <c r="AY1273" s="41"/>
      <c r="AZ1273" s="41"/>
      <c r="BA1273" s="45"/>
      <c r="BB1273" s="24"/>
      <c r="BC1273" s="40"/>
      <c r="BD1273" s="40"/>
    </row>
    <row r="1274" spans="1:56" ht="14.25" customHeight="1">
      <c r="A1274" s="41"/>
      <c r="B1274" s="42"/>
      <c r="C1274" s="43"/>
      <c r="D1274" s="44"/>
      <c r="E1274" s="41"/>
      <c r="F1274" s="41"/>
      <c r="G1274" s="41"/>
      <c r="H1274" s="42"/>
      <c r="I1274" s="42"/>
      <c r="J1274" s="41"/>
      <c r="K1274" s="41"/>
      <c r="L1274" s="42"/>
      <c r="M1274" s="45"/>
      <c r="N1274" s="42"/>
      <c r="O1274" s="42" t="str">
        <f t="shared" si="323"/>
        <v/>
      </c>
      <c r="P1274" s="41"/>
      <c r="Q1274" s="41"/>
      <c r="R1274" s="41"/>
      <c r="S1274" s="41"/>
      <c r="T1274" s="41"/>
      <c r="U1274" s="41"/>
      <c r="V1274" s="42" t="str">
        <f t="shared" si="324"/>
        <v/>
      </c>
      <c r="W1274" s="41"/>
      <c r="X1274" s="41"/>
      <c r="Y1274" s="41"/>
      <c r="Z1274" s="41"/>
      <c r="AA1274" s="41"/>
      <c r="AB1274" s="41"/>
      <c r="AC1274" s="42" t="str">
        <f t="shared" si="325"/>
        <v/>
      </c>
      <c r="AD1274" s="41"/>
      <c r="AE1274" s="41"/>
      <c r="AF1274" s="41"/>
      <c r="AG1274" s="41"/>
      <c r="AH1274" s="41"/>
      <c r="AI1274" s="41"/>
      <c r="AJ1274" s="41"/>
      <c r="AK1274" s="41"/>
      <c r="AL1274" s="41"/>
      <c r="AM1274" s="41"/>
      <c r="AN1274" s="42"/>
      <c r="AO1274" s="42"/>
      <c r="AP1274" s="39"/>
      <c r="AQ1274" s="41"/>
      <c r="AR1274" s="41"/>
      <c r="AS1274" s="39"/>
      <c r="AT1274" s="41"/>
      <c r="AU1274" s="41"/>
      <c r="AV1274" s="41">
        <f t="shared" si="326"/>
        <v>0</v>
      </c>
      <c r="AW1274" s="41" t="str">
        <f t="shared" si="322"/>
        <v/>
      </c>
      <c r="AX1274" s="41"/>
      <c r="AY1274" s="41"/>
      <c r="AZ1274" s="41"/>
      <c r="BA1274" s="45"/>
      <c r="BB1274" s="24"/>
      <c r="BC1274" s="40"/>
      <c r="BD1274" s="40"/>
    </row>
    <row r="1275" spans="1:56" ht="14.25" customHeight="1">
      <c r="A1275" s="41"/>
      <c r="B1275" s="42"/>
      <c r="C1275" s="43"/>
      <c r="D1275" s="44"/>
      <c r="E1275" s="41"/>
      <c r="F1275" s="41"/>
      <c r="G1275" s="41"/>
      <c r="H1275" s="42"/>
      <c r="I1275" s="42"/>
      <c r="J1275" s="41"/>
      <c r="K1275" s="41"/>
      <c r="L1275" s="42"/>
      <c r="M1275" s="45"/>
      <c r="N1275" s="42"/>
      <c r="O1275" s="42" t="str">
        <f t="shared" si="323"/>
        <v/>
      </c>
      <c r="P1275" s="41"/>
      <c r="Q1275" s="41"/>
      <c r="R1275" s="41"/>
      <c r="S1275" s="41"/>
      <c r="T1275" s="41"/>
      <c r="U1275" s="41"/>
      <c r="V1275" s="42" t="str">
        <f t="shared" si="324"/>
        <v/>
      </c>
      <c r="W1275" s="41"/>
      <c r="X1275" s="41"/>
      <c r="Y1275" s="41"/>
      <c r="Z1275" s="41"/>
      <c r="AA1275" s="41"/>
      <c r="AB1275" s="41"/>
      <c r="AC1275" s="42" t="str">
        <f t="shared" si="325"/>
        <v/>
      </c>
      <c r="AD1275" s="41"/>
      <c r="AE1275" s="41"/>
      <c r="AF1275" s="41"/>
      <c r="AG1275" s="41"/>
      <c r="AH1275" s="41"/>
      <c r="AI1275" s="41"/>
      <c r="AJ1275" s="41"/>
      <c r="AK1275" s="41"/>
      <c r="AL1275" s="41"/>
      <c r="AM1275" s="41"/>
      <c r="AN1275" s="42"/>
      <c r="AO1275" s="42"/>
      <c r="AP1275" s="39"/>
      <c r="AQ1275" s="41"/>
      <c r="AR1275" s="41"/>
      <c r="AS1275" s="39"/>
      <c r="AT1275" s="41"/>
      <c r="AU1275" s="41"/>
      <c r="AV1275" s="41">
        <f t="shared" si="326"/>
        <v>0</v>
      </c>
      <c r="AW1275" s="41" t="str">
        <f t="shared" si="322"/>
        <v/>
      </c>
      <c r="AX1275" s="41"/>
      <c r="AY1275" s="41"/>
      <c r="AZ1275" s="41"/>
      <c r="BA1275" s="45"/>
      <c r="BB1275" s="24"/>
      <c r="BC1275" s="40"/>
      <c r="BD1275" s="40"/>
    </row>
    <row r="1276" spans="1:56" ht="14.25" customHeight="1">
      <c r="A1276" s="41"/>
      <c r="B1276" s="42"/>
      <c r="C1276" s="43"/>
      <c r="D1276" s="44"/>
      <c r="E1276" s="41"/>
      <c r="F1276" s="41"/>
      <c r="G1276" s="41"/>
      <c r="H1276" s="42"/>
      <c r="I1276" s="42"/>
      <c r="J1276" s="41"/>
      <c r="K1276" s="41"/>
      <c r="L1276" s="42"/>
      <c r="M1276" s="45"/>
      <c r="N1276" s="42"/>
      <c r="O1276" s="42" t="str">
        <f t="shared" si="323"/>
        <v/>
      </c>
      <c r="P1276" s="41"/>
      <c r="Q1276" s="41"/>
      <c r="R1276" s="41"/>
      <c r="S1276" s="41"/>
      <c r="T1276" s="41"/>
      <c r="U1276" s="41"/>
      <c r="V1276" s="42" t="str">
        <f t="shared" si="324"/>
        <v/>
      </c>
      <c r="W1276" s="41"/>
      <c r="X1276" s="41"/>
      <c r="Y1276" s="41"/>
      <c r="Z1276" s="41"/>
      <c r="AA1276" s="41"/>
      <c r="AB1276" s="41"/>
      <c r="AC1276" s="42" t="str">
        <f t="shared" si="325"/>
        <v/>
      </c>
      <c r="AD1276" s="41"/>
      <c r="AE1276" s="41"/>
      <c r="AF1276" s="41"/>
      <c r="AG1276" s="41"/>
      <c r="AH1276" s="41"/>
      <c r="AI1276" s="41"/>
      <c r="AJ1276" s="41"/>
      <c r="AK1276" s="41"/>
      <c r="AL1276" s="41"/>
      <c r="AM1276" s="41"/>
      <c r="AN1276" s="42"/>
      <c r="AO1276" s="42"/>
      <c r="AP1276" s="39"/>
      <c r="AQ1276" s="41"/>
      <c r="AR1276" s="41"/>
      <c r="AS1276" s="39"/>
      <c r="AT1276" s="41"/>
      <c r="AU1276" s="41"/>
      <c r="AV1276" s="41">
        <f t="shared" si="326"/>
        <v>0</v>
      </c>
      <c r="AW1276" s="41" t="str">
        <f t="shared" si="322"/>
        <v/>
      </c>
      <c r="AX1276" s="41"/>
      <c r="AY1276" s="41"/>
      <c r="AZ1276" s="41"/>
      <c r="BA1276" s="45"/>
      <c r="BB1276" s="24"/>
      <c r="BC1276" s="40"/>
      <c r="BD1276" s="40"/>
    </row>
    <row r="1277" spans="1:56" ht="14.25" customHeight="1">
      <c r="A1277" s="41"/>
      <c r="B1277" s="42"/>
      <c r="C1277" s="43"/>
      <c r="D1277" s="44"/>
      <c r="E1277" s="41"/>
      <c r="F1277" s="41"/>
      <c r="G1277" s="41"/>
      <c r="H1277" s="42"/>
      <c r="I1277" s="42"/>
      <c r="J1277" s="41"/>
      <c r="K1277" s="41"/>
      <c r="L1277" s="42"/>
      <c r="M1277" s="45"/>
      <c r="N1277" s="42"/>
      <c r="O1277" s="42" t="str">
        <f t="shared" si="323"/>
        <v/>
      </c>
      <c r="P1277" s="41"/>
      <c r="Q1277" s="41"/>
      <c r="R1277" s="41"/>
      <c r="S1277" s="41"/>
      <c r="T1277" s="41"/>
      <c r="U1277" s="41"/>
      <c r="V1277" s="42" t="str">
        <f t="shared" si="324"/>
        <v/>
      </c>
      <c r="W1277" s="41"/>
      <c r="X1277" s="41"/>
      <c r="Y1277" s="41"/>
      <c r="Z1277" s="41"/>
      <c r="AA1277" s="41"/>
      <c r="AB1277" s="41"/>
      <c r="AC1277" s="42" t="str">
        <f t="shared" si="325"/>
        <v/>
      </c>
      <c r="AD1277" s="41"/>
      <c r="AE1277" s="41"/>
      <c r="AF1277" s="41"/>
      <c r="AG1277" s="41"/>
      <c r="AH1277" s="41"/>
      <c r="AI1277" s="41"/>
      <c r="AJ1277" s="41"/>
      <c r="AK1277" s="41"/>
      <c r="AL1277" s="41"/>
      <c r="AM1277" s="41"/>
      <c r="AN1277" s="42"/>
      <c r="AO1277" s="42"/>
      <c r="AP1277" s="39"/>
      <c r="AQ1277" s="41"/>
      <c r="AR1277" s="41"/>
      <c r="AS1277" s="39"/>
      <c r="AT1277" s="41"/>
      <c r="AU1277" s="41"/>
      <c r="AV1277" s="41">
        <f t="shared" si="326"/>
        <v>0</v>
      </c>
      <c r="AW1277" s="41" t="str">
        <f t="shared" si="322"/>
        <v/>
      </c>
      <c r="AX1277" s="41"/>
      <c r="AY1277" s="41"/>
      <c r="AZ1277" s="41"/>
      <c r="BA1277" s="45"/>
      <c r="BB1277" s="24"/>
      <c r="BC1277" s="40"/>
      <c r="BD1277" s="40"/>
    </row>
    <row r="1278" spans="1:56" ht="14.25" customHeight="1">
      <c r="A1278" s="41"/>
      <c r="B1278" s="42"/>
      <c r="C1278" s="43"/>
      <c r="D1278" s="44"/>
      <c r="E1278" s="41"/>
      <c r="F1278" s="41"/>
      <c r="G1278" s="41"/>
      <c r="H1278" s="42"/>
      <c r="I1278" s="42"/>
      <c r="J1278" s="41"/>
      <c r="K1278" s="41"/>
      <c r="L1278" s="42"/>
      <c r="M1278" s="45"/>
      <c r="N1278" s="42"/>
      <c r="O1278" s="42" t="str">
        <f t="shared" si="323"/>
        <v/>
      </c>
      <c r="P1278" s="41"/>
      <c r="Q1278" s="41"/>
      <c r="R1278" s="41"/>
      <c r="S1278" s="41"/>
      <c r="T1278" s="41"/>
      <c r="U1278" s="41"/>
      <c r="V1278" s="42" t="str">
        <f t="shared" si="324"/>
        <v/>
      </c>
      <c r="W1278" s="41"/>
      <c r="X1278" s="41"/>
      <c r="Y1278" s="41"/>
      <c r="Z1278" s="41"/>
      <c r="AA1278" s="41"/>
      <c r="AB1278" s="41"/>
      <c r="AC1278" s="42" t="str">
        <f t="shared" si="325"/>
        <v/>
      </c>
      <c r="AD1278" s="41"/>
      <c r="AE1278" s="41"/>
      <c r="AF1278" s="41"/>
      <c r="AG1278" s="41"/>
      <c r="AH1278" s="41"/>
      <c r="AI1278" s="41"/>
      <c r="AJ1278" s="41"/>
      <c r="AK1278" s="41"/>
      <c r="AL1278" s="41"/>
      <c r="AM1278" s="41"/>
      <c r="AN1278" s="42"/>
      <c r="AO1278" s="42"/>
      <c r="AP1278" s="39"/>
      <c r="AQ1278" s="41"/>
      <c r="AR1278" s="41"/>
      <c r="AS1278" s="39"/>
      <c r="AT1278" s="41"/>
      <c r="AU1278" s="41"/>
      <c r="AV1278" s="41">
        <f t="shared" si="326"/>
        <v>0</v>
      </c>
      <c r="AW1278" s="41" t="str">
        <f t="shared" si="322"/>
        <v/>
      </c>
      <c r="AX1278" s="41"/>
      <c r="AY1278" s="41"/>
      <c r="AZ1278" s="41"/>
      <c r="BA1278" s="45"/>
      <c r="BB1278" s="24"/>
      <c r="BC1278" s="40"/>
      <c r="BD1278" s="40"/>
    </row>
    <row r="1279" spans="1:56" ht="14.25" customHeight="1">
      <c r="A1279" s="41"/>
      <c r="B1279" s="42"/>
      <c r="C1279" s="43"/>
      <c r="D1279" s="44"/>
      <c r="E1279" s="41"/>
      <c r="F1279" s="41"/>
      <c r="G1279" s="41"/>
      <c r="H1279" s="42"/>
      <c r="I1279" s="42"/>
      <c r="J1279" s="41"/>
      <c r="K1279" s="41"/>
      <c r="L1279" s="42"/>
      <c r="M1279" s="45"/>
      <c r="N1279" s="42"/>
      <c r="O1279" s="42" t="str">
        <f t="shared" si="323"/>
        <v/>
      </c>
      <c r="P1279" s="41"/>
      <c r="Q1279" s="41"/>
      <c r="R1279" s="41"/>
      <c r="S1279" s="41"/>
      <c r="T1279" s="41"/>
      <c r="U1279" s="41"/>
      <c r="V1279" s="42" t="str">
        <f t="shared" si="324"/>
        <v/>
      </c>
      <c r="W1279" s="41"/>
      <c r="X1279" s="41"/>
      <c r="Y1279" s="41"/>
      <c r="Z1279" s="41"/>
      <c r="AA1279" s="41"/>
      <c r="AB1279" s="41"/>
      <c r="AC1279" s="42" t="str">
        <f t="shared" si="325"/>
        <v/>
      </c>
      <c r="AD1279" s="41"/>
      <c r="AE1279" s="41"/>
      <c r="AF1279" s="41"/>
      <c r="AG1279" s="41"/>
      <c r="AH1279" s="41"/>
      <c r="AI1279" s="41"/>
      <c r="AJ1279" s="41"/>
      <c r="AK1279" s="41"/>
      <c r="AL1279" s="41"/>
      <c r="AM1279" s="41"/>
      <c r="AN1279" s="42"/>
      <c r="AO1279" s="42"/>
      <c r="AP1279" s="39"/>
      <c r="AQ1279" s="41"/>
      <c r="AR1279" s="41"/>
      <c r="AS1279" s="39"/>
      <c r="AT1279" s="41"/>
      <c r="AU1279" s="41"/>
      <c r="AV1279" s="41">
        <f t="shared" si="326"/>
        <v>0</v>
      </c>
      <c r="AW1279" s="41" t="str">
        <f t="shared" si="322"/>
        <v/>
      </c>
      <c r="AX1279" s="41"/>
      <c r="AY1279" s="41"/>
      <c r="AZ1279" s="41"/>
      <c r="BA1279" s="45"/>
      <c r="BB1279" s="24"/>
      <c r="BC1279" s="40"/>
      <c r="BD1279" s="40"/>
    </row>
    <row r="1280" spans="1:56" ht="14.25" customHeight="1">
      <c r="A1280" s="41"/>
      <c r="B1280" s="42"/>
      <c r="C1280" s="43"/>
      <c r="D1280" s="44"/>
      <c r="E1280" s="41"/>
      <c r="F1280" s="41"/>
      <c r="G1280" s="41"/>
      <c r="H1280" s="42"/>
      <c r="I1280" s="42"/>
      <c r="J1280" s="41"/>
      <c r="K1280" s="41"/>
      <c r="L1280" s="42"/>
      <c r="M1280" s="45"/>
      <c r="N1280" s="42"/>
      <c r="O1280" s="42" t="str">
        <f t="shared" si="323"/>
        <v/>
      </c>
      <c r="P1280" s="41"/>
      <c r="Q1280" s="41"/>
      <c r="R1280" s="41"/>
      <c r="S1280" s="41"/>
      <c r="T1280" s="41"/>
      <c r="U1280" s="41"/>
      <c r="V1280" s="42" t="str">
        <f t="shared" si="324"/>
        <v/>
      </c>
      <c r="W1280" s="41"/>
      <c r="X1280" s="41"/>
      <c r="Y1280" s="41"/>
      <c r="Z1280" s="41"/>
      <c r="AA1280" s="41"/>
      <c r="AB1280" s="41"/>
      <c r="AC1280" s="42" t="str">
        <f t="shared" si="325"/>
        <v/>
      </c>
      <c r="AD1280" s="41"/>
      <c r="AE1280" s="41"/>
      <c r="AF1280" s="41"/>
      <c r="AG1280" s="41"/>
      <c r="AH1280" s="41"/>
      <c r="AI1280" s="41"/>
      <c r="AJ1280" s="41"/>
      <c r="AK1280" s="41"/>
      <c r="AL1280" s="41"/>
      <c r="AM1280" s="41"/>
      <c r="AN1280" s="42"/>
      <c r="AO1280" s="42"/>
      <c r="AP1280" s="39"/>
      <c r="AQ1280" s="41"/>
      <c r="AR1280" s="41"/>
      <c r="AS1280" s="39"/>
      <c r="AT1280" s="41"/>
      <c r="AU1280" s="41"/>
      <c r="AV1280" s="41">
        <f t="shared" si="326"/>
        <v>0</v>
      </c>
      <c r="AW1280" s="41" t="str">
        <f t="shared" si="322"/>
        <v/>
      </c>
      <c r="AX1280" s="41"/>
      <c r="AY1280" s="41"/>
      <c r="AZ1280" s="41"/>
      <c r="BA1280" s="45"/>
      <c r="BB1280" s="24"/>
      <c r="BC1280" s="40"/>
      <c r="BD1280" s="40"/>
    </row>
    <row r="1281" spans="1:56" ht="14.25" customHeight="1">
      <c r="A1281" s="41"/>
      <c r="B1281" s="42"/>
      <c r="C1281" s="43"/>
      <c r="D1281" s="44"/>
      <c r="E1281" s="41"/>
      <c r="F1281" s="41"/>
      <c r="G1281" s="41"/>
      <c r="H1281" s="42"/>
      <c r="I1281" s="42"/>
      <c r="J1281" s="41"/>
      <c r="K1281" s="41"/>
      <c r="L1281" s="42"/>
      <c r="M1281" s="45"/>
      <c r="N1281" s="42"/>
      <c r="O1281" s="42" t="str">
        <f t="shared" si="323"/>
        <v/>
      </c>
      <c r="P1281" s="41"/>
      <c r="Q1281" s="41"/>
      <c r="R1281" s="41"/>
      <c r="S1281" s="41"/>
      <c r="T1281" s="41"/>
      <c r="U1281" s="41"/>
      <c r="V1281" s="42" t="str">
        <f t="shared" si="324"/>
        <v/>
      </c>
      <c r="W1281" s="41"/>
      <c r="X1281" s="41"/>
      <c r="Y1281" s="41"/>
      <c r="Z1281" s="41"/>
      <c r="AA1281" s="41"/>
      <c r="AB1281" s="41"/>
      <c r="AC1281" s="42" t="str">
        <f t="shared" si="325"/>
        <v/>
      </c>
      <c r="AD1281" s="41"/>
      <c r="AE1281" s="41"/>
      <c r="AF1281" s="41"/>
      <c r="AG1281" s="41"/>
      <c r="AH1281" s="41"/>
      <c r="AI1281" s="41"/>
      <c r="AJ1281" s="41"/>
      <c r="AK1281" s="41"/>
      <c r="AL1281" s="41"/>
      <c r="AM1281" s="41"/>
      <c r="AN1281" s="42"/>
      <c r="AO1281" s="42"/>
      <c r="AP1281" s="39"/>
      <c r="AQ1281" s="41"/>
      <c r="AR1281" s="41"/>
      <c r="AS1281" s="39"/>
      <c r="AT1281" s="41"/>
      <c r="AU1281" s="41"/>
      <c r="AV1281" s="41">
        <f t="shared" si="326"/>
        <v>0</v>
      </c>
      <c r="AW1281" s="41" t="str">
        <f t="shared" si="322"/>
        <v/>
      </c>
      <c r="AX1281" s="41"/>
      <c r="AY1281" s="41"/>
      <c r="AZ1281" s="41"/>
      <c r="BA1281" s="45"/>
      <c r="BB1281" s="24"/>
      <c r="BC1281" s="40"/>
      <c r="BD1281" s="40"/>
    </row>
    <row r="1282" spans="1:56" ht="14.25" customHeight="1">
      <c r="A1282" s="41"/>
      <c r="B1282" s="42"/>
      <c r="C1282" s="43"/>
      <c r="D1282" s="44"/>
      <c r="E1282" s="41"/>
      <c r="F1282" s="41"/>
      <c r="G1282" s="41"/>
      <c r="H1282" s="42"/>
      <c r="I1282" s="42"/>
      <c r="J1282" s="41"/>
      <c r="K1282" s="41"/>
      <c r="L1282" s="42"/>
      <c r="M1282" s="45"/>
      <c r="N1282" s="42"/>
      <c r="O1282" s="42" t="str">
        <f t="shared" si="323"/>
        <v/>
      </c>
      <c r="P1282" s="41"/>
      <c r="Q1282" s="41"/>
      <c r="R1282" s="41"/>
      <c r="S1282" s="41"/>
      <c r="T1282" s="41"/>
      <c r="U1282" s="41"/>
      <c r="V1282" s="42" t="str">
        <f t="shared" si="324"/>
        <v/>
      </c>
      <c r="W1282" s="41"/>
      <c r="X1282" s="41"/>
      <c r="Y1282" s="41"/>
      <c r="Z1282" s="41"/>
      <c r="AA1282" s="41"/>
      <c r="AB1282" s="41"/>
      <c r="AC1282" s="42" t="str">
        <f t="shared" si="325"/>
        <v/>
      </c>
      <c r="AD1282" s="41"/>
      <c r="AE1282" s="41"/>
      <c r="AF1282" s="41"/>
      <c r="AG1282" s="41"/>
      <c r="AH1282" s="41"/>
      <c r="AI1282" s="41"/>
      <c r="AJ1282" s="41"/>
      <c r="AK1282" s="41"/>
      <c r="AL1282" s="41"/>
      <c r="AM1282" s="41"/>
      <c r="AN1282" s="42"/>
      <c r="AO1282" s="42"/>
      <c r="AP1282" s="39"/>
      <c r="AQ1282" s="41"/>
      <c r="AR1282" s="41"/>
      <c r="AS1282" s="39"/>
      <c r="AT1282" s="41"/>
      <c r="AU1282" s="41"/>
      <c r="AV1282" s="41">
        <f t="shared" si="326"/>
        <v>0</v>
      </c>
      <c r="AW1282" s="41" t="str">
        <f t="shared" si="322"/>
        <v/>
      </c>
      <c r="AX1282" s="41"/>
      <c r="AY1282" s="41"/>
      <c r="AZ1282" s="41"/>
      <c r="BA1282" s="45"/>
      <c r="BB1282" s="24"/>
      <c r="BC1282" s="40"/>
      <c r="BD1282" s="40"/>
    </row>
    <row r="1283" spans="1:56" ht="14.25" customHeight="1">
      <c r="A1283" s="41"/>
      <c r="B1283" s="42"/>
      <c r="C1283" s="43"/>
      <c r="D1283" s="44"/>
      <c r="E1283" s="41"/>
      <c r="F1283" s="41"/>
      <c r="G1283" s="41"/>
      <c r="H1283" s="42"/>
      <c r="I1283" s="42"/>
      <c r="J1283" s="41"/>
      <c r="K1283" s="41"/>
      <c r="L1283" s="42"/>
      <c r="M1283" s="45"/>
      <c r="N1283" s="42"/>
      <c r="O1283" s="42" t="str">
        <f t="shared" si="323"/>
        <v/>
      </c>
      <c r="P1283" s="41"/>
      <c r="Q1283" s="41"/>
      <c r="R1283" s="41"/>
      <c r="S1283" s="41"/>
      <c r="T1283" s="41"/>
      <c r="U1283" s="41"/>
      <c r="V1283" s="42" t="str">
        <f t="shared" si="324"/>
        <v/>
      </c>
      <c r="W1283" s="41"/>
      <c r="X1283" s="41"/>
      <c r="Y1283" s="41"/>
      <c r="Z1283" s="41"/>
      <c r="AA1283" s="41"/>
      <c r="AB1283" s="41"/>
      <c r="AC1283" s="42" t="str">
        <f t="shared" si="325"/>
        <v/>
      </c>
      <c r="AD1283" s="41"/>
      <c r="AE1283" s="41"/>
      <c r="AF1283" s="41"/>
      <c r="AG1283" s="41"/>
      <c r="AH1283" s="41"/>
      <c r="AI1283" s="41"/>
      <c r="AJ1283" s="41"/>
      <c r="AK1283" s="41"/>
      <c r="AL1283" s="41"/>
      <c r="AM1283" s="41"/>
      <c r="AN1283" s="42"/>
      <c r="AO1283" s="42"/>
      <c r="AP1283" s="39"/>
      <c r="AQ1283" s="41"/>
      <c r="AR1283" s="41"/>
      <c r="AS1283" s="39"/>
      <c r="AT1283" s="41"/>
      <c r="AU1283" s="41"/>
      <c r="AV1283" s="41">
        <f t="shared" si="326"/>
        <v>0</v>
      </c>
      <c r="AW1283" s="41" t="str">
        <f t="shared" si="322"/>
        <v/>
      </c>
      <c r="AX1283" s="41"/>
      <c r="AY1283" s="41"/>
      <c r="AZ1283" s="41"/>
      <c r="BA1283" s="45"/>
      <c r="BB1283" s="24"/>
      <c r="BC1283" s="40"/>
      <c r="BD1283" s="40"/>
    </row>
    <row r="1284" spans="1:56" ht="14.25" customHeight="1">
      <c r="A1284" s="41"/>
      <c r="B1284" s="42"/>
      <c r="C1284" s="43"/>
      <c r="D1284" s="44"/>
      <c r="E1284" s="41"/>
      <c r="F1284" s="41"/>
      <c r="G1284" s="41"/>
      <c r="H1284" s="42"/>
      <c r="I1284" s="42"/>
      <c r="J1284" s="41"/>
      <c r="K1284" s="41"/>
      <c r="L1284" s="42"/>
      <c r="M1284" s="45"/>
      <c r="N1284" s="42"/>
      <c r="O1284" s="42" t="str">
        <f t="shared" si="323"/>
        <v/>
      </c>
      <c r="P1284" s="41"/>
      <c r="Q1284" s="41"/>
      <c r="R1284" s="41"/>
      <c r="S1284" s="41"/>
      <c r="T1284" s="41"/>
      <c r="U1284" s="41"/>
      <c r="V1284" s="42" t="str">
        <f t="shared" si="324"/>
        <v/>
      </c>
      <c r="W1284" s="41"/>
      <c r="X1284" s="41"/>
      <c r="Y1284" s="41"/>
      <c r="Z1284" s="41"/>
      <c r="AA1284" s="41"/>
      <c r="AB1284" s="41"/>
      <c r="AC1284" s="42" t="str">
        <f t="shared" si="325"/>
        <v/>
      </c>
      <c r="AD1284" s="41"/>
      <c r="AE1284" s="41"/>
      <c r="AF1284" s="41"/>
      <c r="AG1284" s="41"/>
      <c r="AH1284" s="41"/>
      <c r="AI1284" s="41"/>
      <c r="AJ1284" s="41"/>
      <c r="AK1284" s="41"/>
      <c r="AL1284" s="41"/>
      <c r="AM1284" s="41"/>
      <c r="AN1284" s="42"/>
      <c r="AO1284" s="42"/>
      <c r="AP1284" s="39"/>
      <c r="AQ1284" s="41"/>
      <c r="AR1284" s="41"/>
      <c r="AS1284" s="39"/>
      <c r="AT1284" s="41"/>
      <c r="AU1284" s="41"/>
      <c r="AV1284" s="41">
        <f t="shared" si="326"/>
        <v>0</v>
      </c>
      <c r="AW1284" s="41" t="str">
        <f t="shared" si="322"/>
        <v/>
      </c>
      <c r="AX1284" s="41"/>
      <c r="AY1284" s="41"/>
      <c r="AZ1284" s="41"/>
      <c r="BA1284" s="45"/>
      <c r="BB1284" s="24"/>
      <c r="BC1284" s="40"/>
      <c r="BD1284" s="40"/>
    </row>
    <row r="1285" spans="1:56" ht="14.25" customHeight="1">
      <c r="A1285" s="41"/>
      <c r="B1285" s="42"/>
      <c r="C1285" s="43"/>
      <c r="D1285" s="44"/>
      <c r="E1285" s="41"/>
      <c r="F1285" s="41"/>
      <c r="G1285" s="41"/>
      <c r="H1285" s="42"/>
      <c r="I1285" s="42"/>
      <c r="J1285" s="41"/>
      <c r="K1285" s="41"/>
      <c r="L1285" s="42"/>
      <c r="M1285" s="45"/>
      <c r="N1285" s="42"/>
      <c r="O1285" s="42" t="str">
        <f t="shared" si="323"/>
        <v/>
      </c>
      <c r="P1285" s="41"/>
      <c r="Q1285" s="41"/>
      <c r="R1285" s="41"/>
      <c r="S1285" s="41"/>
      <c r="T1285" s="41"/>
      <c r="U1285" s="41"/>
      <c r="V1285" s="42" t="str">
        <f t="shared" si="324"/>
        <v/>
      </c>
      <c r="W1285" s="41"/>
      <c r="X1285" s="41"/>
      <c r="Y1285" s="41"/>
      <c r="Z1285" s="41"/>
      <c r="AA1285" s="41"/>
      <c r="AB1285" s="41"/>
      <c r="AC1285" s="42" t="str">
        <f t="shared" si="325"/>
        <v/>
      </c>
      <c r="AD1285" s="41"/>
      <c r="AE1285" s="41"/>
      <c r="AF1285" s="41"/>
      <c r="AG1285" s="41"/>
      <c r="AH1285" s="41"/>
      <c r="AI1285" s="41"/>
      <c r="AJ1285" s="41"/>
      <c r="AK1285" s="41"/>
      <c r="AL1285" s="41"/>
      <c r="AM1285" s="41"/>
      <c r="AN1285" s="42"/>
      <c r="AO1285" s="42"/>
      <c r="AP1285" s="39"/>
      <c r="AQ1285" s="41"/>
      <c r="AR1285" s="41"/>
      <c r="AS1285" s="39"/>
      <c r="AT1285" s="41"/>
      <c r="AU1285" s="41"/>
      <c r="AV1285" s="41">
        <f t="shared" si="326"/>
        <v>0</v>
      </c>
      <c r="AW1285" s="41" t="str">
        <f t="shared" si="322"/>
        <v/>
      </c>
      <c r="AX1285" s="41"/>
      <c r="AY1285" s="41"/>
      <c r="AZ1285" s="41"/>
      <c r="BA1285" s="45"/>
      <c r="BB1285" s="24"/>
      <c r="BC1285" s="40"/>
      <c r="BD1285" s="40"/>
    </row>
    <row r="1286" spans="1:56" ht="14.25" customHeight="1">
      <c r="A1286" s="41"/>
      <c r="B1286" s="42"/>
      <c r="C1286" s="43"/>
      <c r="D1286" s="44"/>
      <c r="E1286" s="41"/>
      <c r="F1286" s="41"/>
      <c r="G1286" s="41"/>
      <c r="H1286" s="42"/>
      <c r="I1286" s="42"/>
      <c r="J1286" s="41"/>
      <c r="K1286" s="41"/>
      <c r="L1286" s="42"/>
      <c r="M1286" s="45"/>
      <c r="N1286" s="42"/>
      <c r="O1286" s="42" t="str">
        <f t="shared" si="323"/>
        <v/>
      </c>
      <c r="P1286" s="41"/>
      <c r="Q1286" s="41"/>
      <c r="R1286" s="41"/>
      <c r="S1286" s="41"/>
      <c r="T1286" s="41"/>
      <c r="U1286" s="41"/>
      <c r="V1286" s="42" t="str">
        <f t="shared" si="324"/>
        <v/>
      </c>
      <c r="W1286" s="41"/>
      <c r="X1286" s="41"/>
      <c r="Y1286" s="41"/>
      <c r="Z1286" s="41"/>
      <c r="AA1286" s="41"/>
      <c r="AB1286" s="41"/>
      <c r="AC1286" s="42" t="str">
        <f t="shared" si="325"/>
        <v/>
      </c>
      <c r="AD1286" s="41"/>
      <c r="AE1286" s="41"/>
      <c r="AF1286" s="41"/>
      <c r="AG1286" s="41"/>
      <c r="AH1286" s="41"/>
      <c r="AI1286" s="41"/>
      <c r="AJ1286" s="41"/>
      <c r="AK1286" s="41"/>
      <c r="AL1286" s="41"/>
      <c r="AM1286" s="41"/>
      <c r="AN1286" s="42"/>
      <c r="AO1286" s="42"/>
      <c r="AP1286" s="39"/>
      <c r="AQ1286" s="41"/>
      <c r="AR1286" s="41"/>
      <c r="AS1286" s="39"/>
      <c r="AT1286" s="41"/>
      <c r="AU1286" s="41"/>
      <c r="AV1286" s="41">
        <f t="shared" si="326"/>
        <v>0</v>
      </c>
      <c r="AW1286" s="41" t="str">
        <f t="shared" si="322"/>
        <v/>
      </c>
      <c r="AX1286" s="41"/>
      <c r="AY1286" s="41"/>
      <c r="AZ1286" s="41"/>
      <c r="BA1286" s="45"/>
      <c r="BB1286" s="24"/>
      <c r="BC1286" s="40"/>
      <c r="BD1286" s="40"/>
    </row>
    <row r="1287" spans="1:56" ht="14.25" customHeight="1">
      <c r="A1287" s="41"/>
      <c r="B1287" s="42"/>
      <c r="C1287" s="43"/>
      <c r="D1287" s="44"/>
      <c r="E1287" s="41"/>
      <c r="F1287" s="41"/>
      <c r="G1287" s="41"/>
      <c r="H1287" s="42"/>
      <c r="I1287" s="42"/>
      <c r="J1287" s="41"/>
      <c r="K1287" s="41"/>
      <c r="L1287" s="42"/>
      <c r="M1287" s="45"/>
      <c r="N1287" s="42"/>
      <c r="O1287" s="42" t="str">
        <f t="shared" si="323"/>
        <v/>
      </c>
      <c r="P1287" s="41"/>
      <c r="Q1287" s="41"/>
      <c r="R1287" s="41"/>
      <c r="S1287" s="41"/>
      <c r="T1287" s="41"/>
      <c r="U1287" s="41"/>
      <c r="V1287" s="42" t="str">
        <f t="shared" si="324"/>
        <v/>
      </c>
      <c r="W1287" s="41"/>
      <c r="X1287" s="41"/>
      <c r="Y1287" s="41"/>
      <c r="Z1287" s="41"/>
      <c r="AA1287" s="41"/>
      <c r="AB1287" s="41"/>
      <c r="AC1287" s="42" t="str">
        <f t="shared" si="325"/>
        <v/>
      </c>
      <c r="AD1287" s="41"/>
      <c r="AE1287" s="41"/>
      <c r="AF1287" s="41"/>
      <c r="AG1287" s="41"/>
      <c r="AH1287" s="41"/>
      <c r="AI1287" s="41"/>
      <c r="AJ1287" s="41"/>
      <c r="AK1287" s="41"/>
      <c r="AL1287" s="41"/>
      <c r="AM1287" s="41"/>
      <c r="AN1287" s="42"/>
      <c r="AO1287" s="42"/>
      <c r="AP1287" s="39"/>
      <c r="AQ1287" s="41"/>
      <c r="AR1287" s="41"/>
      <c r="AS1287" s="39"/>
      <c r="AT1287" s="41"/>
      <c r="AU1287" s="41"/>
      <c r="AV1287" s="41">
        <f t="shared" si="326"/>
        <v>0</v>
      </c>
      <c r="AW1287" s="41" t="str">
        <f t="shared" si="322"/>
        <v/>
      </c>
      <c r="AX1287" s="41"/>
      <c r="AY1287" s="41"/>
      <c r="AZ1287" s="41"/>
      <c r="BA1287" s="45"/>
      <c r="BB1287" s="24"/>
      <c r="BC1287" s="40"/>
      <c r="BD1287" s="40"/>
    </row>
    <row r="1288" spans="1:56" ht="14.25" customHeight="1">
      <c r="A1288" s="41"/>
      <c r="B1288" s="42"/>
      <c r="C1288" s="43"/>
      <c r="D1288" s="44"/>
      <c r="E1288" s="41"/>
      <c r="F1288" s="41"/>
      <c r="G1288" s="41"/>
      <c r="H1288" s="42"/>
      <c r="I1288" s="42"/>
      <c r="J1288" s="41"/>
      <c r="K1288" s="41"/>
      <c r="L1288" s="42"/>
      <c r="M1288" s="45"/>
      <c r="N1288" s="42"/>
      <c r="O1288" s="42" t="str">
        <f t="shared" si="323"/>
        <v/>
      </c>
      <c r="P1288" s="41"/>
      <c r="Q1288" s="41"/>
      <c r="R1288" s="41"/>
      <c r="S1288" s="41"/>
      <c r="T1288" s="41"/>
      <c r="U1288" s="41"/>
      <c r="V1288" s="42" t="str">
        <f t="shared" si="324"/>
        <v/>
      </c>
      <c r="W1288" s="41"/>
      <c r="X1288" s="41"/>
      <c r="Y1288" s="41"/>
      <c r="Z1288" s="41"/>
      <c r="AA1288" s="41"/>
      <c r="AB1288" s="41"/>
      <c r="AC1288" s="42" t="str">
        <f t="shared" si="325"/>
        <v/>
      </c>
      <c r="AD1288" s="41"/>
      <c r="AE1288" s="41"/>
      <c r="AF1288" s="41"/>
      <c r="AG1288" s="41"/>
      <c r="AH1288" s="41"/>
      <c r="AI1288" s="41"/>
      <c r="AJ1288" s="41"/>
      <c r="AK1288" s="41"/>
      <c r="AL1288" s="41"/>
      <c r="AM1288" s="41"/>
      <c r="AN1288" s="42"/>
      <c r="AO1288" s="42"/>
      <c r="AP1288" s="39"/>
      <c r="AQ1288" s="41"/>
      <c r="AR1288" s="41"/>
      <c r="AS1288" s="39"/>
      <c r="AT1288" s="41"/>
      <c r="AU1288" s="41"/>
      <c r="AV1288" s="41">
        <f t="shared" si="326"/>
        <v>0</v>
      </c>
      <c r="AW1288" s="41" t="str">
        <f t="shared" si="322"/>
        <v/>
      </c>
      <c r="AX1288" s="41"/>
      <c r="AY1288" s="41"/>
      <c r="AZ1288" s="41"/>
      <c r="BA1288" s="45"/>
      <c r="BB1288" s="24"/>
      <c r="BC1288" s="40"/>
      <c r="BD1288" s="40"/>
    </row>
    <row r="1289" spans="1:56" ht="14.25" customHeight="1">
      <c r="A1289" s="41"/>
      <c r="B1289" s="42"/>
      <c r="C1289" s="43"/>
      <c r="D1289" s="44"/>
      <c r="E1289" s="41"/>
      <c r="F1289" s="41"/>
      <c r="G1289" s="41"/>
      <c r="H1289" s="42"/>
      <c r="I1289" s="42"/>
      <c r="J1289" s="41"/>
      <c r="K1289" s="41"/>
      <c r="L1289" s="42"/>
      <c r="M1289" s="45"/>
      <c r="N1289" s="42"/>
      <c r="O1289" s="42" t="str">
        <f t="shared" si="323"/>
        <v/>
      </c>
      <c r="P1289" s="41"/>
      <c r="Q1289" s="41"/>
      <c r="R1289" s="41"/>
      <c r="S1289" s="41"/>
      <c r="T1289" s="41"/>
      <c r="U1289" s="41"/>
      <c r="V1289" s="42" t="str">
        <f t="shared" si="324"/>
        <v/>
      </c>
      <c r="W1289" s="41"/>
      <c r="X1289" s="41"/>
      <c r="Y1289" s="41"/>
      <c r="Z1289" s="41"/>
      <c r="AA1289" s="41"/>
      <c r="AB1289" s="41"/>
      <c r="AC1289" s="42" t="str">
        <f t="shared" si="325"/>
        <v/>
      </c>
      <c r="AD1289" s="41"/>
      <c r="AE1289" s="41"/>
      <c r="AF1289" s="41"/>
      <c r="AG1289" s="41"/>
      <c r="AH1289" s="41"/>
      <c r="AI1289" s="41"/>
      <c r="AJ1289" s="41"/>
      <c r="AK1289" s="41"/>
      <c r="AL1289" s="41"/>
      <c r="AM1289" s="41"/>
      <c r="AN1289" s="42"/>
      <c r="AO1289" s="42"/>
      <c r="AP1289" s="39"/>
      <c r="AQ1289" s="41"/>
      <c r="AR1289" s="41"/>
      <c r="AS1289" s="39"/>
      <c r="AT1289" s="41"/>
      <c r="AU1289" s="41"/>
      <c r="AV1289" s="41">
        <f t="shared" si="326"/>
        <v>0</v>
      </c>
      <c r="AW1289" s="41" t="str">
        <f t="shared" si="322"/>
        <v/>
      </c>
      <c r="AX1289" s="41"/>
      <c r="AY1289" s="41"/>
      <c r="AZ1289" s="41"/>
      <c r="BA1289" s="45"/>
      <c r="BB1289" s="24"/>
      <c r="BC1289" s="40"/>
      <c r="BD1289" s="40"/>
    </row>
    <row r="1290" spans="1:56" ht="14.25" customHeight="1">
      <c r="A1290" s="41"/>
      <c r="B1290" s="42"/>
      <c r="C1290" s="43"/>
      <c r="D1290" s="44"/>
      <c r="E1290" s="41"/>
      <c r="F1290" s="41"/>
      <c r="G1290" s="41"/>
      <c r="H1290" s="42"/>
      <c r="I1290" s="42"/>
      <c r="J1290" s="41"/>
      <c r="K1290" s="41"/>
      <c r="L1290" s="42"/>
      <c r="M1290" s="45"/>
      <c r="N1290" s="42"/>
      <c r="O1290" s="42" t="str">
        <f t="shared" si="323"/>
        <v/>
      </c>
      <c r="P1290" s="41"/>
      <c r="Q1290" s="41"/>
      <c r="R1290" s="41"/>
      <c r="S1290" s="41"/>
      <c r="T1290" s="41"/>
      <c r="U1290" s="41"/>
      <c r="V1290" s="42" t="str">
        <f t="shared" si="324"/>
        <v/>
      </c>
      <c r="W1290" s="41"/>
      <c r="X1290" s="41"/>
      <c r="Y1290" s="41"/>
      <c r="Z1290" s="41"/>
      <c r="AA1290" s="41"/>
      <c r="AB1290" s="41"/>
      <c r="AC1290" s="42" t="str">
        <f t="shared" si="325"/>
        <v/>
      </c>
      <c r="AD1290" s="41"/>
      <c r="AE1290" s="41"/>
      <c r="AF1290" s="41"/>
      <c r="AG1290" s="41"/>
      <c r="AH1290" s="41"/>
      <c r="AI1290" s="41"/>
      <c r="AJ1290" s="41"/>
      <c r="AK1290" s="41"/>
      <c r="AL1290" s="41"/>
      <c r="AM1290" s="41"/>
      <c r="AN1290" s="42"/>
      <c r="AO1290" s="42"/>
      <c r="AP1290" s="39"/>
      <c r="AQ1290" s="41"/>
      <c r="AR1290" s="41"/>
      <c r="AS1290" s="39"/>
      <c r="AT1290" s="41"/>
      <c r="AU1290" s="41"/>
      <c r="AV1290" s="41">
        <f t="shared" si="326"/>
        <v>0</v>
      </c>
      <c r="AW1290" s="41" t="str">
        <f t="shared" si="322"/>
        <v/>
      </c>
      <c r="AX1290" s="41"/>
      <c r="AY1290" s="41"/>
      <c r="AZ1290" s="41"/>
      <c r="BA1290" s="45"/>
      <c r="BB1290" s="24"/>
      <c r="BC1290" s="40"/>
      <c r="BD1290" s="40"/>
    </row>
    <row r="1291" spans="1:56" ht="14.25" customHeight="1">
      <c r="A1291" s="41"/>
      <c r="B1291" s="42"/>
      <c r="C1291" s="43"/>
      <c r="D1291" s="44"/>
      <c r="E1291" s="41"/>
      <c r="F1291" s="41"/>
      <c r="G1291" s="41"/>
      <c r="H1291" s="42"/>
      <c r="I1291" s="42"/>
      <c r="J1291" s="41"/>
      <c r="K1291" s="41"/>
      <c r="L1291" s="42"/>
      <c r="M1291" s="45"/>
      <c r="N1291" s="42"/>
      <c r="O1291" s="42" t="str">
        <f t="shared" si="323"/>
        <v/>
      </c>
      <c r="P1291" s="41"/>
      <c r="Q1291" s="41"/>
      <c r="R1291" s="41"/>
      <c r="S1291" s="41"/>
      <c r="T1291" s="41"/>
      <c r="U1291" s="41"/>
      <c r="V1291" s="42" t="str">
        <f t="shared" si="324"/>
        <v/>
      </c>
      <c r="W1291" s="41"/>
      <c r="X1291" s="41"/>
      <c r="Y1291" s="41"/>
      <c r="Z1291" s="41"/>
      <c r="AA1291" s="41"/>
      <c r="AB1291" s="41"/>
      <c r="AC1291" s="42" t="str">
        <f t="shared" si="325"/>
        <v/>
      </c>
      <c r="AD1291" s="41"/>
      <c r="AE1291" s="41"/>
      <c r="AF1291" s="41"/>
      <c r="AG1291" s="41"/>
      <c r="AH1291" s="41"/>
      <c r="AI1291" s="41"/>
      <c r="AJ1291" s="41"/>
      <c r="AK1291" s="41"/>
      <c r="AL1291" s="41"/>
      <c r="AM1291" s="41"/>
      <c r="AN1291" s="42"/>
      <c r="AO1291" s="42"/>
      <c r="AP1291" s="39"/>
      <c r="AQ1291" s="41"/>
      <c r="AR1291" s="41"/>
      <c r="AS1291" s="39"/>
      <c r="AT1291" s="41"/>
      <c r="AU1291" s="41"/>
      <c r="AV1291" s="41">
        <f t="shared" si="326"/>
        <v>0</v>
      </c>
      <c r="AW1291" s="41" t="str">
        <f t="shared" si="322"/>
        <v/>
      </c>
      <c r="AX1291" s="41"/>
      <c r="AY1291" s="41"/>
      <c r="AZ1291" s="41"/>
      <c r="BA1291" s="45"/>
      <c r="BB1291" s="24"/>
      <c r="BC1291" s="40"/>
      <c r="BD1291" s="40"/>
    </row>
    <row r="1292" spans="1:56" ht="14.25" customHeight="1">
      <c r="A1292" s="41"/>
      <c r="B1292" s="42"/>
      <c r="C1292" s="43"/>
      <c r="D1292" s="44"/>
      <c r="E1292" s="41"/>
      <c r="F1292" s="41"/>
      <c r="G1292" s="41"/>
      <c r="H1292" s="42"/>
      <c r="I1292" s="42"/>
      <c r="J1292" s="41"/>
      <c r="K1292" s="41"/>
      <c r="L1292" s="42"/>
      <c r="M1292" s="45"/>
      <c r="N1292" s="42"/>
      <c r="O1292" s="42" t="str">
        <f t="shared" si="323"/>
        <v/>
      </c>
      <c r="P1292" s="41"/>
      <c r="Q1292" s="41"/>
      <c r="R1292" s="41"/>
      <c r="S1292" s="41"/>
      <c r="T1292" s="41"/>
      <c r="U1292" s="41"/>
      <c r="V1292" s="42" t="str">
        <f t="shared" si="324"/>
        <v/>
      </c>
      <c r="W1292" s="41"/>
      <c r="X1292" s="41"/>
      <c r="Y1292" s="41"/>
      <c r="Z1292" s="41"/>
      <c r="AA1292" s="41"/>
      <c r="AB1292" s="41"/>
      <c r="AC1292" s="42" t="str">
        <f t="shared" si="325"/>
        <v/>
      </c>
      <c r="AD1292" s="41"/>
      <c r="AE1292" s="41"/>
      <c r="AF1292" s="41"/>
      <c r="AG1292" s="41"/>
      <c r="AH1292" s="41"/>
      <c r="AI1292" s="41"/>
      <c r="AJ1292" s="41"/>
      <c r="AK1292" s="41"/>
      <c r="AL1292" s="41"/>
      <c r="AM1292" s="41"/>
      <c r="AN1292" s="42"/>
      <c r="AO1292" s="42"/>
      <c r="AP1292" s="39"/>
      <c r="AQ1292" s="41"/>
      <c r="AR1292" s="41"/>
      <c r="AS1292" s="39"/>
      <c r="AT1292" s="41"/>
      <c r="AU1292" s="41"/>
      <c r="AV1292" s="41">
        <f t="shared" si="326"/>
        <v>0</v>
      </c>
      <c r="AW1292" s="41" t="str">
        <f t="shared" si="322"/>
        <v/>
      </c>
      <c r="AX1292" s="41"/>
      <c r="AY1292" s="41"/>
      <c r="AZ1292" s="41"/>
      <c r="BA1292" s="45"/>
      <c r="BB1292" s="24"/>
      <c r="BC1292" s="40"/>
      <c r="BD1292" s="40"/>
    </row>
    <row r="1293" spans="1:56" ht="14.25" customHeight="1"/>
    <row r="1294" spans="1:56" ht="14.25" customHeight="1"/>
    <row r="1295" spans="1:56" ht="14.25" customHeight="1"/>
    <row r="1296" spans="1:56" ht="14.25" customHeight="1"/>
    <row r="1297" ht="14.25" customHeight="1"/>
    <row r="1298" ht="14.25" customHeight="1"/>
    <row r="1299" ht="14.25" customHeight="1"/>
    <row r="1300" ht="14.25" customHeight="1"/>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sheetData>
  <customSheetViews>
    <customSheetView guid="{9B97F165-352D-4CA7-BE1D-F0786A1DC505}" filter="1" showAutoFilter="1">
      <pageMargins left="0" right="0" top="0" bottom="0" header="0" footer="0"/>
      <autoFilter ref="A4:BU497" xr:uid="{B9C5E93E-D32C-4E94-850C-32FD8CBCB7E6}"/>
    </customSheetView>
    <customSheetView guid="{3E49DF13-D92F-42AC-803F-C870D81917C4}" filter="1" showAutoFilter="1">
      <pageMargins left="0" right="0" top="0" bottom="0" header="0" footer="0"/>
      <autoFilter ref="A4:BU498" xr:uid="{185EF315-0B5D-4F80-BC5B-AA8B8F86EAC1}">
        <filterColumn colId="13">
          <filters>
            <filter val="Nestor Jecfrid Sánchez"/>
            <filter val="William Arturo González"/>
            <filter val="Yeiker Guerra Sarmiento"/>
          </filters>
        </filterColumn>
      </autoFilter>
    </customSheetView>
    <customSheetView guid="{94A8EDBB-3FF4-4079-ACF9-CEFACFEF5D8F}" filter="1" showAutoFilter="1">
      <pageMargins left="0" right="0" top="0" bottom="0" header="0" footer="0"/>
      <autoFilter ref="A4:BU497" xr:uid="{A633CBF7-CA41-4C00-92F5-0F816F41FE13}"/>
    </customSheetView>
    <customSheetView guid="{0998E86F-EB22-41C7-A1D3-C8C85B32BEC2}" filter="1" showAutoFilter="1">
      <pageMargins left="0" right="0" top="0" bottom="0" header="0" footer="0"/>
      <autoFilter ref="A1" xr:uid="{D84D0FFC-00B5-4D37-8D99-2BCB848F639F}"/>
    </customSheetView>
    <customSheetView guid="{D13C2B98-9F48-44AE-86E6-B20A4A8B9EA4}" filter="1" showAutoFilter="1">
      <pageMargins left="0" right="0" top="0" bottom="0" header="0" footer="0"/>
      <autoFilter ref="A4:FA566" xr:uid="{326A9773-ED7A-49D4-AB75-C1AA8C2408FC}"/>
    </customSheetView>
    <customSheetView guid="{CBC98601-95B6-43EB-8DB2-B24D9B914D67}" filter="1" showAutoFilter="1">
      <pageMargins left="0" right="0" top="0" bottom="0" header="0" footer="0"/>
      <autoFilter ref="BW4:BX552" xr:uid="{47E1C94E-2536-42E3-B1CB-1D9B803F0C5C}"/>
    </customSheetView>
    <customSheetView guid="{B838C755-11C7-416C-89B7-1D0E6FE1B654}" filter="1" showAutoFilter="1">
      <pageMargins left="0" right="0" top="0" bottom="0" header="0" footer="0"/>
      <autoFilter ref="DG4:EF493" xr:uid="{D3B81640-D11A-4F84-A9DC-862A5B188AC7}">
        <filterColumn colId="3">
          <filters>
            <filter val="En trámite"/>
          </filters>
        </filterColumn>
      </autoFilter>
    </customSheetView>
    <customSheetView guid="{E57E0A82-D9BB-485F-91DF-63724D5593A2}" filter="1" showAutoFilter="1">
      <pageMargins left="0" right="0" top="0" bottom="0" header="0" footer="0"/>
      <autoFilter ref="A4:FA566" xr:uid="{FCE25C5A-2910-431B-9A69-053CA339871E}"/>
    </customSheetView>
    <customSheetView guid="{C3C76A01-D58E-4C4A-94DD-A5FAB0448A3E}" filter="1" showAutoFilter="1">
      <pageMargins left="0" right="0" top="0" bottom="0" header="0" footer="0"/>
      <autoFilter ref="A4:BU497" xr:uid="{1285F2CF-EA4A-43F4-BB3B-287F2B133710}"/>
    </customSheetView>
    <customSheetView guid="{B63B5A75-C675-41A3-A66E-A2E8A1326B7A}" filter="1" showAutoFilter="1">
      <pageMargins left="0" right="0" top="0" bottom="0" header="0" footer="0"/>
      <autoFilter ref="A4:BU548" xr:uid="{3EAE4CDA-D21D-4D1C-B28F-163BD8D9722D}"/>
    </customSheetView>
    <customSheetView guid="{1D80E054-8872-4587-8092-5126ED9B2C4B}" filter="1" showAutoFilter="1">
      <pageMargins left="0" right="0" top="0" bottom="0" header="0" footer="0"/>
      <autoFilter ref="A4:BU448" xr:uid="{8FB43D4F-13E8-477D-868A-B39BF182A204}"/>
    </customSheetView>
    <customSheetView guid="{10335018-B213-4583-B860-A2ED9FA89826}" filter="1" showAutoFilter="1">
      <pageMargins left="0" right="0" top="0" bottom="0" header="0" footer="0"/>
      <autoFilter ref="A4:FA566" xr:uid="{A1837E14-9836-4AC3-9950-6D15237EECD2}"/>
    </customSheetView>
    <customSheetView guid="{0F980F3B-FC52-411A-9C4E-30DAD32635C3}" filter="1" showAutoFilter="1">
      <pageMargins left="0" right="0" top="0" bottom="0" header="0" footer="0"/>
      <autoFilter ref="A4:FA566" xr:uid="{8996CF1B-83F7-4054-9E96-9FBA18416797}"/>
    </customSheetView>
    <customSheetView guid="{745E0385-25C6-4B57-AEA1-95F6DAC2421E}" filter="1" showAutoFilter="1">
      <pageMargins left="0" right="0" top="0" bottom="0" header="0" footer="0"/>
      <autoFilter ref="A4:FA566" xr:uid="{312A6F95-01DC-42EF-9286-4EA0AAC0F839}"/>
    </customSheetView>
    <customSheetView guid="{3D5A39F8-0DD4-4B25-A53F-A5DB6C4E662B}" filter="1" showAutoFilter="1">
      <pageMargins left="0" right="0" top="0" bottom="0" header="0" footer="0"/>
      <autoFilter ref="A4:FA566" xr:uid="{F0EE074C-2677-434C-A7B7-AB1475923E97}">
        <filterColumn colId="77">
          <filters blank="1">
            <filter val="70"/>
          </filters>
        </filterColumn>
      </autoFilter>
    </customSheetView>
    <customSheetView guid="{8BCE3E66-1F1F-4548-AA61-8B2E0394C9F6}" filter="1" showAutoFilter="1">
      <pageMargins left="0" right="0" top="0" bottom="0" header="0" footer="0"/>
      <autoFilter ref="B328:C553" xr:uid="{405A71A2-D65E-43A7-B263-046660B451C7}"/>
    </customSheetView>
    <customSheetView guid="{726EDFFB-547F-488A-B5AE-FD7F070447E1}" filter="1" showAutoFilter="1">
      <pageMargins left="0" right="0" top="0" bottom="0" header="0" footer="0"/>
      <autoFilter ref="A4:FA566" xr:uid="{CDECA7E2-2D45-4287-96DF-45E89A617795}"/>
    </customSheetView>
    <customSheetView guid="{EEB1B4B4-D11B-426F-9EAD-4C73EDCF2511}" filter="1" showAutoFilter="1">
      <pageMargins left="0" right="0" top="0" bottom="0" header="0" footer="0"/>
      <autoFilter ref="A4:FA566" xr:uid="{F9C3D1B4-888D-4C94-8A62-5C65951C54A0}"/>
    </customSheetView>
    <customSheetView guid="{9687CA5C-EF2D-4064-A3A2-C09F9C373055}" filter="1" showAutoFilter="1">
      <pageMargins left="0" right="0" top="0" bottom="0" header="0" footer="0"/>
      <autoFilter ref="A4:FA566" xr:uid="{C6B32FA1-766B-416D-82F5-2357D217E38E}"/>
    </customSheetView>
    <customSheetView guid="{A7C48391-0F75-4E97-8287-A91DE15525A1}" filter="1" showAutoFilter="1">
      <pageMargins left="0" right="0" top="0" bottom="0" header="0" footer="0"/>
      <autoFilter ref="A4:FA566" xr:uid="{0FFDD4CD-659C-4070-B700-7969545EE4A2}"/>
    </customSheetView>
    <customSheetView guid="{4A375B5A-2715-418E-AD29-BFA430B9FE6C}" filter="1" showAutoFilter="1">
      <pageMargins left="0" right="0" top="0" bottom="0" header="0" footer="0"/>
      <autoFilter ref="A4:FA566" xr:uid="{8810532F-E9B3-439B-9BFE-5FDC7C0833F6}">
        <filterColumn colId="1">
          <filters>
            <filter val="Actividad de cumplimento para acción afirmativa con Comunidad Raizal"/>
            <filter val="Apuestas de la segunda versión de Smart City"/>
            <filter val="Articulación con DPL - Proyectos PIP y Participación"/>
            <filter val="Audiencia del Decreto 563 de 2023"/>
            <filter val="Audiencia Publica - El cambio debe verse en el Centro de Bogotá"/>
            <filter val="Audiencia Pública de Rendición de Cuentas IDPAC vigencia 2023"/>
            <filter val="Audiencia pública sobre la garantía y ejercicio de los derechos de las personas LGBTI"/>
            <filter val="Capacitación - UPL y PIP líderes sectores MOT"/>
            <filter val="Capacitación Actuaciones Estratégicas"/>
            <filter val="Capacitación Sistema de Participación Territorial"/>
            <filter val="CLIP Barrios Unidos"/>
            <filter val="CLIP Chapinero"/>
            <filter val="CLIP Mártires"/>
            <filter val="CLIP Santa Fe"/>
            <filter val="CLIP Santa Fé"/>
            <filter val="Comisión de Participación CTPD"/>
            <filter val="Comisión de Participación- CTPD"/>
            <filter val="Comisión POT del CTPD"/>
            <filter val="Comisón POT del CTPD"/>
            <filter val="Comite Intersectorial del PDD"/>
            <filter val="Comité técnico- CTPD"/>
            <filter val="Concejo - Formulación PDD-10-05-2024"/>
            <filter val="Concejo - Formulación PDD-14-05-2024"/>
            <filter val="Construcción de agenda - Sector Suroccidente"/>
            <filter val="Consultorio PDD - Concejo: Jornada 12- Sector Cultura"/>
            <filter val="Consultorio PDD - Concejo: Jornada 13- Sector Cultura"/>
            <filter val="Convocatoria de elección de organizaciones sociales al CTPD por parte de la SDS"/>
            <filter val="DPL -Lineamientos estrategia de participación - servicios públicos"/>
            <filter val="Encuentro ciudadano local - Sumapaz"/>
            <filter val="Encuentro Fundación Colombia 2050"/>
            <filter val="Evento - conmemoración 129 años de la Unidad de Bomberos de Bogotá"/>
            <filter val="Evento - Experiencias Inspiradoras"/>
            <filter val="Evento virtual  socialización resultados Encuesta Servidores- Veeduría Distrital-IIPC"/>
            <filter val="Formulación Actuación Estratégica Calle 72"/>
            <filter val="Gala Sergio Urrego"/>
            <filter val="Generalidades POT y UPL/PIP"/>
            <filter val="Gestión - Capacitación para categorización de propuestas abiertas PDD"/>
            <filter val="Gestion - Presentación propuesta Asamblea Deliberativa Agora"/>
            <filter val="Gestión - Sistema de Participación Territorial - Sector Ambiente"/>
            <filter val="Gestión :Diálogo Ciudadano Población Migrante - ACNUR / SDP"/>
            <filter val="Gestión :Socialización plan decenal de lenguas Étnicas -UNAD"/>
            <filter val="Gestión: Acompañamiento espacio de diálogo Sec. Gobierno con Cabildo Muisca de Suba"/>
            <filter val="Gestión: concertación acciones afirmativas Pueblo Rrom"/>
            <filter val="Gestión: Construcción de agenda Sector Rural - SPRS y OPDC"/>
            <filter val="Gestión: Documento Estrategia Participación Regalías y Plan de Acción"/>
            <filter val="Gestión: Encuentro nacional de jóvenes negros, afrocolombianos, palenqueros y Raizales."/>
            <filter val="Gestion: Estrategia de Participacion Plan Maestro del Sistema de Cuidado"/>
            <filter val="Gestión: Estrategia de Participación SGR - Segundo Semestre 2024"/>
            <filter val="Gestión: Mesa intersectorial  SPT -SSSM"/>
            <filter val="Gestión: Pedagogía del Plan Distrital de Desarrollo"/>
            <filter val="Gestión: Plan de trabajo para acciones afirmativas Comunidad Negra Afrocolombiana"/>
            <filter val="Gestión: Plan de trabajo para acciones afirmativas con Comunidad Palenquera"/>
            <filter val="Gestión: Preparación de metodologías para actividades de acciones afirmativas - Comunidad Palenquera"/>
            <filter val="Gestión: Preparatoria Acción Afirmativa Pueblo Rrom - Gitano"/>
            <filter val="Gestión: Reunión con IPDC sobre Sistema Sitios Sagrados Muisca y SPT"/>
            <filter val="Gestión: Reunión con Veeduría Distrital"/>
            <filter val="Gestión: Reunión Junta Directiva / incentivos y bolsa logística CTPD"/>
            <filter val="Gestión: Reunión preparatoria acción afirmativa con Comunidad Raizal"/>
            <filter val="Gestión: Revisión cronograma participación ZIBO - Renobo"/>
            <filter val="Gestión: Revisión de compromisos con Cabildo Muisca de Suba"/>
            <filter val="Gestión: Revisión propuesta Agora Metropolitana"/>
            <filter val="Gestión:coordinación para propuesta Agora"/>
            <filter val="Gestión:Socialización SPT a Subdirecciones Territoriales"/>
            <filter val="II Reunión: construcción de agenda - Sector Sur occidente"/>
            <filter val="La Noche y Las Luciérnagas"/>
            <filter val="Mesa de Gestión Territorial Barrio Nuevo Chile -JAC"/>
            <filter val="Mesa de trabajo - Feria de servicios Patio Bonito II"/>
            <filter val="Mesa de trabajo AEDA"/>
            <filter val="Mesa de trabajo Estrategia Microterritorial -  JAC"/>
            <filter val="Mesa de trabajo Foro - Veeduría Distrital"/>
            <filter val="Mesa de trabajo sector republica de Canadá y Santa Marta"/>
            <filter val="Orion Miorgullo Stonewall Inn"/>
            <filter val="Plan de Acción PPR - Sector Planeación"/>
            <filter val="Plan de trabajo Sistema de Participación Territorial con Pueblo Muisca de Suba y Bosa"/>
            <filter val="Plenaria ordinaria CTPD"/>
            <filter val="Plenaria permanente CTPD"/>
            <filter val="Presentación de resultados de Participación UPL Sumapaz- JAL"/>
            <filter val="Primer comité de participación ciudadana - Proyecto Manzana del cuidado del Porvenir Gibraltar"/>
            <filter val="Primera sesión de la Subcomisión Permanente del Sistema de Participación Territorial"/>
            <filter val="Recorrido AE Campín 7 de agosto - sector 7 de agosto"/>
            <filter val="Recorrido AE Chapinero verde e inteligente"/>
            <filter val="Recorrido AE estratégica Campin 7 de agosto sector Campin"/>
            <filter val="Recorrido AE ZIBO - JAC Puente Aranda"/>
            <filter val="Recorrido AE ZIBO JAC Teusaquillo"/>
            <filter val="Red institucional de Apoyo a las Veedurías Ciudadanas: Presentación planeación participativa del PDD"/>
            <filter val="Retroalimentación proyecto Asambleas Deliberativas"/>
            <filter val="Reunión con presidentes de JAC con incidencia en la APP Campin y AE Campin 7 de agosto"/>
            <filter val="Reunión con USAID y FHI360"/>
            <filter val="Reunión -Concejal Julian Triana"/>
            <filter val="Reunión concejal Ponente Clara Lucia Sandoval"/>
            <filter val="Reunión de articulación- DPL"/>
            <filter val="Reunión de Gestión Ágora Metropolitana"/>
            <filter val="Reunión Junta Directiva CTPD"/>
            <filter val="Reunión preparatoria para talleres de AE Campín. 7 de agosto con presidentes de JAC"/>
            <filter val="Reunión vicepresidente del CTPD"/>
            <filter val="Reunión: Propuesta de Asamblea deliberativa Metropolitana - Agora"/>
            <filter val="Seguimiento - PIPC 2024 - EcoUrbanismo y Construcción Sostenible"/>
            <filter val="Seguimiento Secretaría de Planeación de Cundinamarca"/>
            <filter val="Sesión  Extraordinaria Comisión Desarrollo Regional CTPD"/>
            <filter val="Sesión Consejo de Propiedad Horizontal"/>
            <filter val="Sesión Consejo Distrital de Propiedad Horizontal"/>
            <filter val="Sesión de Concejo -  Sesión Plenaria Ordinaria PDD-28-05-2024 Tarde"/>
            <filter val="Sesión de Concejo -  Sesión Plenaria Ordinaria PDD-29-05-2024"/>
            <filter val="Sesión de Concejo -  Sesión Plenaria Ordinaria PDD-29-05-2024 Tarde"/>
            <filter val="Sesión de Concejo - Formulación PDD- 03-05-2024"/>
            <filter val="Sesión de Concejo - Formulación PDD- 06-05-2024"/>
            <filter val="Sesión de Concejo - Formulación PDD- 07-05-2024"/>
            <filter val="Sesión de Concejo - Formulación PDD- 08-05-2024"/>
            <filter val="Sesión de Concejo - Formulación PDD- 09-05-2024"/>
            <filter val="Sesión de Concejo - Formulación PDD- 22-05-2024"/>
            <filter val="Sesión de Concejo - Formulación PDD- 22-05-2024 -Tarde"/>
            <filter val="Sesión de Concejo - Formulación PDD-10-05-2024"/>
            <filter val="Sesión de Concejo - Formulación PDD-14-05-2024"/>
            <filter val="Sesión de Concejo - Formulación PDD-15-05-2024"/>
            <filter val="Sesión de Concejo - Formulación PDD-20-05-2024"/>
            <filter val="Sesión de Concejo - Formulación PDD-21-05-2024"/>
            <filter val="Sesión de Concejo - Formulación PDD-23-05-2024"/>
            <filter val="Sesión de Concejo - Formulación PDD-23-05-2024 - Tarde"/>
            <filter val="Sesión de Concejo - Formulación PDD-24-05-2024"/>
            <filter val="Sesión de Concejo - Formulación PDD-24-05-2024 Tarde"/>
            <filter val="Sesión de Concejo - Formulación PDD-25-05-2024"/>
            <filter val="Sesión de Concejo - Formulación PDD-25-05-2024 Tarde"/>
            <filter val="Sesión de Concejo - Formulación PDD-30-05-2024"/>
            <filter val="Sesión de Concejo - Sesión Plenaria Ordinaria PDD-28-05-2024"/>
            <filter val="Sesión de la Comisión Intersectorial de Participación"/>
            <filter val="Sesión extraordinaria - Mesa Distrital de Víctimas"/>
            <filter val="Sesión Extraordinaria Comisión Desarrollo Regional - CTPD"/>
            <filter val="Sesión JAL - PEMP Teusaquillo"/>
            <filter val="Sesión Ordinaria de la Comisión de Desarrollo Regional - CTPD"/>
            <filter val="Sesión Ordinaria de la Comisión Plan de Desarrollo Distrital CTPD"/>
            <filter val="Socialización Plan Parcial de Desarrollo Los Búhos"/>
            <filter val="Socialización Sistema de Participación Territorial - Renobo"/>
            <filter val="Taller  Modelo de Relacionamiento con la Ciudadanía"/>
            <filter val="Taller de diálogo  Actuación Estratégica Campín 7 de Agosto"/>
            <filter val="Taller de Diálogo  Actuación Estratégica Montevideo"/>
            <filter val="Taller de Diálogo CiudadanoFormulación de Directrices para la AE Campín 7 de agosto"/>
            <filter val="Transmicable San Cristóbal -JAL San Cristóbal"/>
          </filters>
        </filterColumn>
      </autoFilter>
    </customSheetView>
    <customSheetView guid="{E6A6FB97-928F-42AC-960F-BFEC30593C6F}" filter="1" showAutoFilter="1">
      <pageMargins left="0" right="0" top="0" bottom="0" header="0" footer="0"/>
      <autoFilter ref="A4:FA566" xr:uid="{4CA4137B-46FF-46F2-A12E-B934D1804C3E}"/>
    </customSheetView>
    <customSheetView guid="{9B8DC269-B1B4-4EA3-99A1-B76D8B572F17}" filter="1" showAutoFilter="1">
      <pageMargins left="0" right="0" top="0" bottom="0" header="0" footer="0"/>
      <autoFilter ref="CI4:CI219" xr:uid="{4C9343A4-82C6-41ED-8936-F594D7263DFC}"/>
    </customSheetView>
    <customSheetView guid="{5FD45068-0A1C-44A6-A614-A34DE3DECE97}" filter="1" showAutoFilter="1">
      <pageMargins left="0" right="0" top="0" bottom="0" header="0" footer="0"/>
      <autoFilter ref="A4:FA566" xr:uid="{E5639A25-6942-465D-8CD9-1122F5244410}">
        <filterColumn colId="77">
          <filters blank="1">
            <filter val="216"/>
            <filter val="250"/>
            <filter val="70"/>
            <filter val="71"/>
          </filters>
        </filterColumn>
      </autoFilter>
    </customSheetView>
    <customSheetView guid="{6A4AEF36-C92F-4F39-A925-7F67CE5CC19A}" filter="1" showAutoFilter="1">
      <pageMargins left="0" right="0" top="0" bottom="0" header="0" footer="0"/>
      <autoFilter ref="A4:BU497" xr:uid="{2F283094-89D8-419B-A5A8-D261D83558FC}"/>
    </customSheetView>
    <customSheetView guid="{62837B04-76B7-445E-8034-C8F314ECEA35}" filter="1" showAutoFilter="1">
      <pageMargins left="0" right="0" top="0" bottom="0" header="0" footer="0"/>
      <autoFilter ref="BZ4:CG566" xr:uid="{0FC14025-E2DA-4D74-A540-39CDB5367F7D}"/>
    </customSheetView>
    <customSheetView guid="{EAE5B8B2-5B54-4026-97DB-8A1758914250}" filter="1" showAutoFilter="1">
      <pageMargins left="0" right="0" top="0" bottom="0" header="0" footer="0"/>
      <autoFilter ref="A4:FA566" xr:uid="{D1DD4F1D-F296-4F3D-AB6A-06FF5E305783}"/>
    </customSheetView>
    <customSheetView guid="{9E4BD9BF-01F1-44D6-9113-4C8E2917A20A}" filter="1" showAutoFilter="1">
      <pageMargins left="0" right="0" top="0" bottom="0" header="0" footer="0"/>
      <autoFilter ref="A4:FA566" xr:uid="{B4683C62-B36A-4E53-BC1E-7CA4B2084EA8}"/>
    </customSheetView>
    <customSheetView guid="{F207C096-1E65-49CC-AE0F-C4623D794CD5}" filter="1" showAutoFilter="1">
      <pageMargins left="0" right="0" top="0" bottom="0" header="0" footer="0"/>
      <autoFilter ref="A4:BU497" xr:uid="{197F6790-B24A-4784-9567-B1D75286D271}"/>
    </customSheetView>
    <customSheetView guid="{12F61020-C29E-4891-86AF-EBD94397FC8C}" filter="1" showAutoFilter="1">
      <pageMargins left="0" right="0" top="0" bottom="0" header="0" footer="0"/>
      <autoFilter ref="A4:FA566" xr:uid="{20D59C07-1520-44DD-9E18-C14F7BFFC3CF}"/>
    </customSheetView>
    <customSheetView guid="{1C6E979F-94BD-493C-9F19-8937AE64D7E1}" filter="1" showAutoFilter="1">
      <pageMargins left="0" right="0" top="0" bottom="0" header="0" footer="0"/>
      <autoFilter ref="A4:BU497" xr:uid="{7F226304-80B9-4A53-A391-B2340F9BAC42}"/>
    </customSheetView>
    <customSheetView guid="{253283F9-E5CB-4C67-93C5-53EF811F1E90}" filter="1" showAutoFilter="1">
      <pageMargins left="0" right="0" top="0" bottom="0" header="0" footer="0"/>
      <autoFilter ref="A1" xr:uid="{0D6D6249-B70A-4ED9-8466-883FAD36CBFB}"/>
    </customSheetView>
    <customSheetView guid="{8E70848B-C6C0-46E7-A6AA-32B94CD34856}" filter="1" showAutoFilter="1">
      <pageMargins left="0" right="0" top="0" bottom="0" header="0" footer="0"/>
      <autoFilter ref="A4:BU498" xr:uid="{63A5F2CB-7A3B-449F-84A1-57132EA26340}">
        <sortState xmlns:xlrd2="http://schemas.microsoft.com/office/spreadsheetml/2017/richdata2" ref="A4:BU498">
          <sortCondition descending="1" ref="N4:N498"/>
        </sortState>
      </autoFilter>
    </customSheetView>
    <customSheetView guid="{78543D8B-3BB7-4AB1-97C5-49806AD6926A}" filter="1" showAutoFilter="1">
      <pageMargins left="0" right="0" top="0" bottom="0" header="0" footer="0"/>
      <autoFilter ref="A4:FA566" xr:uid="{0C9BF4AB-D543-49A8-93D5-81D1AF4EE0E7}"/>
    </customSheetView>
    <customSheetView guid="{264C30CD-2A1D-4EBD-9AE9-8EE0725F3114}" filter="1" showAutoFilter="1">
      <pageMargins left="0" right="0" top="0" bottom="0" header="0" footer="0"/>
      <autoFilter ref="DG4:EF566" xr:uid="{AAAF80B7-F424-473E-B36A-21E65C42F4C3}"/>
    </customSheetView>
  </customSheetViews>
  <mergeCells count="1">
    <mergeCell ref="AT2:AU2"/>
  </mergeCells>
  <conditionalFormatting sqref="BF1128">
    <cfRule type="expression" dxfId="824" priority="1409">
      <formula>BL1128="NO"</formula>
    </cfRule>
  </conditionalFormatting>
  <conditionalFormatting sqref="BG1128">
    <cfRule type="expression" dxfId="823" priority="459">
      <formula>BL1128="NO"</formula>
    </cfRule>
  </conditionalFormatting>
  <conditionalFormatting sqref="BH1128">
    <cfRule type="expression" dxfId="822" priority="457">
      <formula>BL1128="NO"</formula>
    </cfRule>
  </conditionalFormatting>
  <conditionalFormatting sqref="BI1128">
    <cfRule type="expression" dxfId="821" priority="456">
      <formula>BL1128="NO"</formula>
    </cfRule>
  </conditionalFormatting>
  <conditionalFormatting sqref="BJ1128:BM1128">
    <cfRule type="containsText" dxfId="820" priority="715" operator="containsText" text="NO">
      <formula>NOT(ISERROR(SEARCH("NO",BJ1128)))</formula>
    </cfRule>
    <cfRule type="containsText" dxfId="819" priority="716" operator="containsText" text="SÍ">
      <formula>NOT(ISERROR(SEARCH("SÍ",BJ1128)))</formula>
    </cfRule>
  </conditionalFormatting>
  <conditionalFormatting sqref="BO1128">
    <cfRule type="expression" dxfId="818" priority="455">
      <formula>BL1128="NO"</formula>
    </cfRule>
  </conditionalFormatting>
  <conditionalFormatting sqref="BP1128">
    <cfRule type="expression" dxfId="817" priority="454">
      <formula>BL1128="NO"</formula>
    </cfRule>
  </conditionalFormatting>
  <conditionalFormatting sqref="BQ1128">
    <cfRule type="expression" dxfId="816" priority="453">
      <formula>BL1128="NO"</formula>
    </cfRule>
  </conditionalFormatting>
  <conditionalFormatting sqref="BR1128">
    <cfRule type="expression" dxfId="815" priority="452">
      <formula>BL1128="NO"</formula>
    </cfRule>
  </conditionalFormatting>
  <conditionalFormatting sqref="B1:B1048576">
    <cfRule type="expression" dxfId="7" priority="105467">
      <formula>#REF!="NO"</formula>
    </cfRule>
  </conditionalFormatting>
  <conditionalFormatting sqref="C1:C1048576">
    <cfRule type="expression" dxfId="6" priority="105468">
      <formula>#REF!="NO"</formula>
    </cfRule>
  </conditionalFormatting>
  <conditionalFormatting sqref="D1:D1048576">
    <cfRule type="expression" dxfId="5" priority="105469">
      <formula>#REF!="NO"</formula>
    </cfRule>
  </conditionalFormatting>
  <conditionalFormatting sqref="E1:E1048576">
    <cfRule type="expression" dxfId="4" priority="105470">
      <formula>#REF!="NO"</formula>
    </cfRule>
  </conditionalFormatting>
  <conditionalFormatting sqref="G1:G1048576">
    <cfRule type="expression" dxfId="3" priority="105471">
      <formula>#REF!="NO"</formula>
    </cfRule>
  </conditionalFormatting>
  <conditionalFormatting sqref="H1:H1048576">
    <cfRule type="expression" dxfId="2" priority="105472">
      <formula>#REF!="NO"</formula>
    </cfRule>
  </conditionalFormatting>
  <conditionalFormatting sqref="I1:I1048576">
    <cfRule type="expression" dxfId="1" priority="105473">
      <formula>#REF!="NO"</formula>
    </cfRule>
  </conditionalFormatting>
  <dataValidations disablePrompts="1" count="2">
    <dataValidation type="list" allowBlank="1" showErrorMessage="1" sqref="G6:G1292" xr:uid="{B5E9219F-9616-4200-9A51-BD96B3D74200}">
      <formula1>"Virtual,Presencial"</formula1>
    </dataValidation>
    <dataValidation type="list" allowBlank="1" showErrorMessage="1" sqref="E6:E1292" xr:uid="{3418DE2A-6FF5-4614-A1A8-0F5CE1023108}">
      <formula1>"DESPACHO,OPDC,GENERAL SDP,INSTANCIAS"</formula1>
    </dataValidation>
  </dataValidations>
  <hyperlinks>
    <hyperlink ref="AO15" r:id="rId1" xr:uid="{00000000-0004-0000-0000-000009000000}"/>
    <hyperlink ref="AO20" r:id="rId2" xr:uid="{00000000-0004-0000-0000-00000F000000}"/>
    <hyperlink ref="AO28" r:id="rId3" xr:uid="{00000000-0004-0000-0000-000018000000}"/>
    <hyperlink ref="AO29" r:id="rId4" xr:uid="{00000000-0004-0000-0000-00001A000000}"/>
    <hyperlink ref="AO36" r:id="rId5" xr:uid="{00000000-0004-0000-0000-000025000000}"/>
    <hyperlink ref="AO37" r:id="rId6" xr:uid="{00000000-0004-0000-0000-000027000000}"/>
    <hyperlink ref="AO38" r:id="rId7" xr:uid="{00000000-0004-0000-0000-000029000000}"/>
    <hyperlink ref="AO39" r:id="rId8" xr:uid="{00000000-0004-0000-0000-00002B000000}"/>
    <hyperlink ref="AO40" r:id="rId9" xr:uid="{00000000-0004-0000-0000-00002D000000}"/>
    <hyperlink ref="AO42" r:id="rId10" xr:uid="{00000000-0004-0000-0000-000030000000}"/>
    <hyperlink ref="AO44" r:id="rId11" display="https://teams.microsoft.com/l/meetup-join/19%253ameeting_Y2M1OTI0YjctYTVhYy00YzIwLTliOTAtNjM0OWM0MDU4YWE1%2540thread.v2/0?context%3D%257b%2522Tid%2522%253a%252214de155f-e192-44da-994d-1913d8658372%2522%252c%2522Oid%2522%253a%25228c154e64-91aa-4adc-aec5-c44dffdd103d%2522%257d&amp;sa=D&amp;source=calendar&amp;usd=2&amp;usg=AOvVaw17EqF5cZLIcQDaU6N1ZBwM" xr:uid="{00000000-0004-0000-0000-000033000000}"/>
    <hyperlink ref="AO45" r:id="rId12" xr:uid="{00000000-0004-0000-0000-000035000000}"/>
    <hyperlink ref="AO47" r:id="rId13" xr:uid="{00000000-0004-0000-0000-000038000000}"/>
    <hyperlink ref="AO48" r:id="rId14" xr:uid="{00000000-0004-0000-0000-00003A000000}"/>
    <hyperlink ref="AO49" r:id="rId15" xr:uid="{00000000-0004-0000-0000-00003C000000}"/>
    <hyperlink ref="AO55" r:id="rId16" xr:uid="{00000000-0004-0000-0000-000044000000}"/>
    <hyperlink ref="AO56" r:id="rId17" xr:uid="{00000000-0004-0000-0000-000046000000}"/>
    <hyperlink ref="AO57" r:id="rId18" xr:uid="{00000000-0004-0000-0000-000048000000}"/>
    <hyperlink ref="AO61" r:id="rId19" xr:uid="{00000000-0004-0000-0000-00004E000000}"/>
    <hyperlink ref="AO64" r:id="rId20" xr:uid="{00000000-0004-0000-0000-000054000000}"/>
    <hyperlink ref="AO66" r:id="rId21" xr:uid="{00000000-0004-0000-0000-000058000000}"/>
    <hyperlink ref="AO68" r:id="rId22" xr:uid="{00000000-0004-0000-0000-00005C000000}"/>
    <hyperlink ref="AO71" r:id="rId23" xr:uid="{00000000-0004-0000-0000-000060000000}"/>
    <hyperlink ref="AO72" r:id="rId24" xr:uid="{00000000-0004-0000-0000-000062000000}"/>
    <hyperlink ref="AO73" r:id="rId25" xr:uid="{00000000-0004-0000-0000-000064000000}"/>
    <hyperlink ref="AO74" r:id="rId26" xr:uid="{00000000-0004-0000-0000-000066000000}"/>
    <hyperlink ref="AO77" r:id="rId27" xr:uid="{00000000-0004-0000-0000-00006B000000}"/>
    <hyperlink ref="AO79" r:id="rId28" xr:uid="{00000000-0004-0000-0000-00006E000000}"/>
    <hyperlink ref="AO81" r:id="rId29" xr:uid="{00000000-0004-0000-0000-000071000000}"/>
    <hyperlink ref="AO82" r:id="rId30" xr:uid="{00000000-0004-0000-0000-000073000000}"/>
    <hyperlink ref="AO85" r:id="rId31" xr:uid="{00000000-0004-0000-0000-000077000000}"/>
    <hyperlink ref="AO89" r:id="rId32" xr:uid="{00000000-0004-0000-0000-00007D000000}"/>
    <hyperlink ref="AO90" r:id="rId33" xr:uid="{00000000-0004-0000-0000-00007F000000}"/>
    <hyperlink ref="AO103" r:id="rId34" xr:uid="{00000000-0004-0000-0000-000090000000}"/>
    <hyperlink ref="AO104" r:id="rId35" xr:uid="{00000000-0004-0000-0000-000092000000}"/>
    <hyperlink ref="AO108" r:id="rId36" xr:uid="{00000000-0004-0000-0000-000098000000}"/>
    <hyperlink ref="AO109" r:id="rId37" xr:uid="{00000000-0004-0000-0000-00009A000000}"/>
    <hyperlink ref="AO113" r:id="rId38" xr:uid="{00000000-0004-0000-0000-00009F000000}"/>
    <hyperlink ref="AO117" r:id="rId39" xr:uid="{00000000-0004-0000-0000-0000A5000000}"/>
    <hyperlink ref="AO120" r:id="rId40" xr:uid="{00000000-0004-0000-0000-0000A9000000}"/>
    <hyperlink ref="AO127" r:id="rId41" xr:uid="{00000000-0004-0000-0000-0000B2000000}"/>
    <hyperlink ref="AO128" r:id="rId42" xr:uid="{00000000-0004-0000-0000-0000B4000000}"/>
    <hyperlink ref="AO133" r:id="rId43" xr:uid="{00000000-0004-0000-0000-0000BA000000}"/>
    <hyperlink ref="AO144" r:id="rId44" xr:uid="{00000000-0004-0000-0000-0000C8000000}"/>
    <hyperlink ref="AO147" r:id="rId45" xr:uid="{00000000-0004-0000-0000-0000CD000000}"/>
    <hyperlink ref="AO151" r:id="rId46" xr:uid="{00000000-0004-0000-0000-0000D2000000}"/>
    <hyperlink ref="N152" r:id="rId47" xr:uid="{00000000-0004-0000-0000-0000D4000000}"/>
    <hyperlink ref="AO152" r:id="rId48" xr:uid="{00000000-0004-0000-0000-0000D5000000}"/>
    <hyperlink ref="AO156" r:id="rId49" xr:uid="{00000000-0004-0000-0000-0000DB000000}"/>
    <hyperlink ref="AO157" r:id="rId50" xr:uid="{00000000-0004-0000-0000-0000DD000000}"/>
    <hyperlink ref="AO159" r:id="rId51" xr:uid="{00000000-0004-0000-0000-0000E0000000}"/>
    <hyperlink ref="AO161" r:id="rId52" xr:uid="{00000000-0004-0000-0000-0000E4000000}"/>
    <hyperlink ref="AO162" r:id="rId53" xr:uid="{00000000-0004-0000-0000-0000E6000000}"/>
    <hyperlink ref="AO163" r:id="rId54" xr:uid="{00000000-0004-0000-0000-0000E8000000}"/>
    <hyperlink ref="AO164" r:id="rId55" xr:uid="{00000000-0004-0000-0000-0000EA000000}"/>
    <hyperlink ref="AO166" r:id="rId56" xr:uid="{00000000-0004-0000-0000-0000ED000000}"/>
    <hyperlink ref="AO171" r:id="rId57" xr:uid="{00000000-0004-0000-0000-0000F3000000}"/>
    <hyperlink ref="AO173" r:id="rId58" xr:uid="{00000000-0004-0000-0000-0000F6000000}"/>
    <hyperlink ref="AO178" r:id="rId59" xr:uid="{00000000-0004-0000-0000-0000FD000000}"/>
    <hyperlink ref="AO182" r:id="rId60" xr:uid="{00000000-0004-0000-0000-000004010000}"/>
    <hyperlink ref="AO185" r:id="rId61" xr:uid="{00000000-0004-0000-0000-000009010000}"/>
    <hyperlink ref="AO188" r:id="rId62" xr:uid="{00000000-0004-0000-0000-00000D010000}"/>
    <hyperlink ref="AO189" r:id="rId63" xr:uid="{00000000-0004-0000-0000-00000F010000}"/>
    <hyperlink ref="AO191" r:id="rId64" xr:uid="{00000000-0004-0000-0000-000012010000}"/>
    <hyperlink ref="AO192" r:id="rId65" xr:uid="{00000000-0004-0000-0000-000014010000}"/>
    <hyperlink ref="AO194" r:id="rId66" xr:uid="{00000000-0004-0000-0000-000018010000}"/>
    <hyperlink ref="AO195" r:id="rId67" xr:uid="{00000000-0004-0000-0000-00001A010000}"/>
    <hyperlink ref="AO196" r:id="rId68" xr:uid="{00000000-0004-0000-0000-00001C010000}"/>
    <hyperlink ref="AO197" r:id="rId69" xr:uid="{00000000-0004-0000-0000-00001E010000}"/>
    <hyperlink ref="AO198" r:id="rId70" xr:uid="{00000000-0004-0000-0000-000020010000}"/>
    <hyperlink ref="AO199" r:id="rId71" xr:uid="{00000000-0004-0000-0000-000022010000}"/>
    <hyperlink ref="AO200" r:id="rId72" xr:uid="{00000000-0004-0000-0000-000024010000}"/>
    <hyperlink ref="AO201" r:id="rId73" xr:uid="{00000000-0004-0000-0000-000026010000}"/>
    <hyperlink ref="AO202" r:id="rId74" xr:uid="{00000000-0004-0000-0000-000028010000}"/>
    <hyperlink ref="AO205" r:id="rId75" xr:uid="{00000000-0004-0000-0000-00002D010000}"/>
    <hyperlink ref="AO210" r:id="rId76" xr:uid="{00000000-0004-0000-0000-000033010000}"/>
    <hyperlink ref="AO212" r:id="rId77" xr:uid="{00000000-0004-0000-0000-000036010000}"/>
    <hyperlink ref="AO216" r:id="rId78" xr:uid="{00000000-0004-0000-0000-00003B010000}"/>
    <hyperlink ref="AO221" r:id="rId79" xr:uid="{00000000-0004-0000-0000-000041010000}"/>
    <hyperlink ref="AO225" r:id="rId80" xr:uid="{00000000-0004-0000-0000-000046010000}"/>
    <hyperlink ref="AO231" r:id="rId81" xr:uid="{00000000-0004-0000-0000-00004F010000}"/>
    <hyperlink ref="AO242" r:id="rId82" xr:uid="{00000000-0004-0000-0000-00005F010000}"/>
    <hyperlink ref="AO247" r:id="rId83" xr:uid="{00000000-0004-0000-0000-000068010000}"/>
    <hyperlink ref="AO251" r:id="rId84" xr:uid="{00000000-0004-0000-0000-00006D010000}"/>
    <hyperlink ref="AO254" r:id="rId85" xr:uid="{00000000-0004-0000-0000-000073010000}"/>
    <hyperlink ref="AO255" r:id="rId86" xr:uid="{00000000-0004-0000-0000-000075010000}"/>
    <hyperlink ref="AO263" r:id="rId87" xr:uid="{00000000-0004-0000-0000-000080010000}"/>
    <hyperlink ref="AO273" r:id="rId88" xr:uid="{00000000-0004-0000-0000-00008C010000}"/>
    <hyperlink ref="AO277" r:id="rId89" xr:uid="{00000000-0004-0000-0000-000092010000}"/>
    <hyperlink ref="AO285" r:id="rId90" xr:uid="{00000000-0004-0000-0000-00009B010000}"/>
    <hyperlink ref="AO293" r:id="rId91" xr:uid="{00000000-0004-0000-0000-0000A4010000}"/>
    <hyperlink ref="AO296" r:id="rId92" xr:uid="{00000000-0004-0000-0000-0000A7010000}"/>
    <hyperlink ref="AO297" r:id="rId93" xr:uid="{00000000-0004-0000-0000-0000A9010000}"/>
    <hyperlink ref="AO298" r:id="rId94" xr:uid="{00000000-0004-0000-0000-0000AB010000}"/>
    <hyperlink ref="AO299" r:id="rId95" xr:uid="{00000000-0004-0000-0000-0000AD010000}"/>
    <hyperlink ref="AO300" r:id="rId96" xr:uid="{00000000-0004-0000-0000-0000AF010000}"/>
    <hyperlink ref="AO301" r:id="rId97" xr:uid="{00000000-0004-0000-0000-0000B1010000}"/>
    <hyperlink ref="AO302" r:id="rId98" xr:uid="{00000000-0004-0000-0000-0000B3010000}"/>
    <hyperlink ref="AO303" r:id="rId99" xr:uid="{00000000-0004-0000-0000-0000B5010000}"/>
    <hyperlink ref="AO304" r:id="rId100" xr:uid="{00000000-0004-0000-0000-0000B7010000}"/>
    <hyperlink ref="AO305" r:id="rId101" xr:uid="{00000000-0004-0000-0000-0000B9010000}"/>
    <hyperlink ref="AO306" r:id="rId102" xr:uid="{00000000-0004-0000-0000-0000BB010000}"/>
    <hyperlink ref="AO307" r:id="rId103" xr:uid="{00000000-0004-0000-0000-0000BD010000}"/>
    <hyperlink ref="AO308" r:id="rId104" xr:uid="{00000000-0004-0000-0000-0000BF010000}"/>
    <hyperlink ref="AO309" r:id="rId105" xr:uid="{00000000-0004-0000-0000-0000C1010000}"/>
    <hyperlink ref="AO312" r:id="rId106" xr:uid="{00000000-0004-0000-0000-0000C5010000}"/>
    <hyperlink ref="AO313" r:id="rId107" xr:uid="{00000000-0004-0000-0000-0000C7010000}"/>
    <hyperlink ref="AO314" r:id="rId108" xr:uid="{00000000-0004-0000-0000-0000C9010000}"/>
    <hyperlink ref="AO315" r:id="rId109" xr:uid="{00000000-0004-0000-0000-0000CB010000}"/>
    <hyperlink ref="AO316" r:id="rId110" xr:uid="{00000000-0004-0000-0000-0000CD010000}"/>
    <hyperlink ref="AO317" r:id="rId111" xr:uid="{00000000-0004-0000-0000-0000CF010000}"/>
    <hyperlink ref="AO318" r:id="rId112" xr:uid="{00000000-0004-0000-0000-0000D1010000}"/>
    <hyperlink ref="AO319" r:id="rId113" xr:uid="{00000000-0004-0000-0000-0000D3010000}"/>
    <hyperlink ref="AO320" r:id="rId114" xr:uid="{00000000-0004-0000-0000-0000D5010000}"/>
    <hyperlink ref="AO344" r:id="rId115" xr:uid="{00000000-0004-0000-0000-000003020000}"/>
    <hyperlink ref="AO345" r:id="rId116" xr:uid="{00000000-0004-0000-0000-000005020000}"/>
    <hyperlink ref="AO346" r:id="rId117" xr:uid="{00000000-0004-0000-0000-000007020000}"/>
    <hyperlink ref="AO348" r:id="rId118" xr:uid="{00000000-0004-0000-0000-00000A020000}"/>
    <hyperlink ref="AO357" r:id="rId119" xr:uid="{00000000-0004-0000-0000-000016020000}"/>
    <hyperlink ref="AO358" r:id="rId120" xr:uid="{00000000-0004-0000-0000-000018020000}"/>
    <hyperlink ref="AO361" r:id="rId121" xr:uid="{00000000-0004-0000-0000-00001D020000}"/>
    <hyperlink ref="AO362" r:id="rId122" xr:uid="{00000000-0004-0000-0000-00001F020000}"/>
    <hyperlink ref="AO363" r:id="rId123" xr:uid="{00000000-0004-0000-0000-000021020000}"/>
    <hyperlink ref="AO365" r:id="rId124" xr:uid="{00000000-0004-0000-0000-000024020000}"/>
    <hyperlink ref="AO366" r:id="rId125" xr:uid="{00000000-0004-0000-0000-000026020000}"/>
    <hyperlink ref="AO369" r:id="rId126" xr:uid="{00000000-0004-0000-0000-00002B020000}"/>
    <hyperlink ref="AO370" r:id="rId127" xr:uid="{00000000-0004-0000-0000-00002D020000}"/>
    <hyperlink ref="AO375" r:id="rId128" xr:uid="{00000000-0004-0000-0000-000034020000}"/>
    <hyperlink ref="AO376" r:id="rId129" xr:uid="{00000000-0004-0000-0000-000036020000}"/>
    <hyperlink ref="AO377" r:id="rId130" xr:uid="{00000000-0004-0000-0000-000038020000}"/>
    <hyperlink ref="AO380" r:id="rId131" xr:uid="{00000000-0004-0000-0000-00003D020000}"/>
    <hyperlink ref="AO381" r:id="rId132" xr:uid="{00000000-0004-0000-0000-000040020000}"/>
    <hyperlink ref="AO384" r:id="rId133" xr:uid="{00000000-0004-0000-0000-000045020000}"/>
    <hyperlink ref="AO388" r:id="rId134" xr:uid="{00000000-0004-0000-0000-00004B020000}"/>
    <hyperlink ref="AO391" r:id="rId135" xr:uid="{00000000-0004-0000-0000-00004F020000}"/>
    <hyperlink ref="AO398" r:id="rId136" xr:uid="{00000000-0004-0000-0000-000058020000}"/>
    <hyperlink ref="AO408" r:id="rId137" xr:uid="{00000000-0004-0000-0000-000065020000}"/>
    <hyperlink ref="AO410" r:id="rId138" xr:uid="{00000000-0004-0000-0000-000068020000}"/>
    <hyperlink ref="AO418" r:id="rId139" xr:uid="{00000000-0004-0000-0000-000072020000}"/>
    <hyperlink ref="AO422" r:id="rId140" xr:uid="{00000000-0004-0000-0000-000078020000}"/>
    <hyperlink ref="AO428" r:id="rId141" xr:uid="{00000000-0004-0000-0000-00007F020000}"/>
    <hyperlink ref="AO435" r:id="rId142" xr:uid="{00000000-0004-0000-0000-000087020000}"/>
    <hyperlink ref="AO442" r:id="rId143" xr:uid="{00000000-0004-0000-0000-000090020000}"/>
    <hyperlink ref="AO444" r:id="rId144" xr:uid="{00000000-0004-0000-0000-000093020000}"/>
    <hyperlink ref="AO446" r:id="rId145" xr:uid="{00000000-0004-0000-0000-000097020000}"/>
    <hyperlink ref="AO449" r:id="rId146" xr:uid="{00000000-0004-0000-0000-00009C020000}"/>
    <hyperlink ref="AO451" r:id="rId147" xr:uid="{00000000-0004-0000-0000-00009F020000}"/>
    <hyperlink ref="AO452" r:id="rId148" xr:uid="{00000000-0004-0000-0000-0000A1020000}"/>
    <hyperlink ref="AO453" r:id="rId149" xr:uid="{00000000-0004-0000-0000-0000A3020000}"/>
    <hyperlink ref="AO457" r:id="rId150" xr:uid="{00000000-0004-0000-0000-0000A8020000}"/>
    <hyperlink ref="AO458" r:id="rId151" xr:uid="{00000000-0004-0000-0000-0000AA020000}"/>
    <hyperlink ref="AO461" r:id="rId152" xr:uid="{00000000-0004-0000-0000-0000AE020000}"/>
    <hyperlink ref="AO463" r:id="rId153" xr:uid="{00000000-0004-0000-0000-0000B1020000}"/>
    <hyperlink ref="AO464" r:id="rId154" xr:uid="{00000000-0004-0000-0000-0000B3020000}"/>
    <hyperlink ref="AO465" r:id="rId155" xr:uid="{00000000-0004-0000-0000-0000B5020000}"/>
    <hyperlink ref="AO468" r:id="rId156" xr:uid="{00000000-0004-0000-0000-0000B9020000}"/>
    <hyperlink ref="AO473" r:id="rId157" xr:uid="{00000000-0004-0000-0000-0000C0020000}"/>
    <hyperlink ref="AO479" r:id="rId158" xr:uid="{00000000-0004-0000-0000-0000C7020000}"/>
    <hyperlink ref="AO486" r:id="rId159" xr:uid="{00000000-0004-0000-0000-0000CE020000}"/>
    <hyperlink ref="AO487" r:id="rId160" xr:uid="{00000000-0004-0000-0000-0000D0020000}"/>
    <hyperlink ref="AO494" r:id="rId161" xr:uid="{00000000-0004-0000-0000-0000D9020000}"/>
    <hyperlink ref="AO512" r:id="rId162" xr:uid="{00000000-0004-0000-0000-0000E4020000}"/>
    <hyperlink ref="AO510" r:id="rId163" xr:uid="{00000000-0004-0000-0000-0000E9020000}"/>
    <hyperlink ref="AO511" r:id="rId164" xr:uid="{00000000-0004-0000-0000-0000EC020000}"/>
    <hyperlink ref="AO508" r:id="rId165" xr:uid="{00000000-0004-0000-0000-0000EE020000}"/>
    <hyperlink ref="AO513" r:id="rId166" xr:uid="{00000000-0004-0000-0000-0000F0020000}"/>
    <hyperlink ref="AO520" r:id="rId167" xr:uid="{00000000-0004-0000-0000-0000F7020000}"/>
    <hyperlink ref="AO517" r:id="rId168" xr:uid="{00000000-0004-0000-0000-0000F9020000}"/>
    <hyperlink ref="AO521" r:id="rId169" xr:uid="{00000000-0004-0000-0000-0000FB020000}"/>
    <hyperlink ref="AO523" r:id="rId170" xr:uid="{00000000-0004-0000-0000-0000FF020000}"/>
    <hyperlink ref="AO525" r:id="rId171" xr:uid="{00000000-0004-0000-0000-000001030000}"/>
    <hyperlink ref="AO529" r:id="rId172" xr:uid="{00000000-0004-0000-0000-000006030000}"/>
    <hyperlink ref="AO531" r:id="rId173" xr:uid="{00000000-0004-0000-0000-000009030000}"/>
    <hyperlink ref="AO532" r:id="rId174" xr:uid="{00000000-0004-0000-0000-00000B030000}"/>
    <hyperlink ref="AO533" r:id="rId175" xr:uid="{00000000-0004-0000-0000-00000D030000}"/>
    <hyperlink ref="AO541" r:id="rId176" xr:uid="{00000000-0004-0000-0000-000016030000}"/>
    <hyperlink ref="AO543" r:id="rId177" xr:uid="{00000000-0004-0000-0000-000019030000}"/>
    <hyperlink ref="AO580" r:id="rId178" xr:uid="{00000000-0004-0000-0000-00002C030000}"/>
    <hyperlink ref="AO554" r:id="rId179" xr:uid="{D01D593B-D74E-4EE8-B716-65CA68D0D391}"/>
    <hyperlink ref="AO559" r:id="rId180" xr:uid="{99851761-EF20-47F7-8E51-A39E3083501E}"/>
    <hyperlink ref="AO573" r:id="rId181" xr:uid="{F64FADC8-0D9C-413D-809C-CEA72049CEC8}"/>
    <hyperlink ref="AO567" r:id="rId182" xr:uid="{60A7CF70-D7F0-47B3-B960-825EE2126ABE}"/>
    <hyperlink ref="AO577" r:id="rId183" xr:uid="{93E991F1-C14D-4B6D-BE48-D0F9596215B7}"/>
    <hyperlink ref="AO582" r:id="rId184" xr:uid="{9C6F2398-A887-4BCD-974B-36F73261E182}"/>
    <hyperlink ref="AO588" r:id="rId185" xr:uid="{E12FBEB6-7BC9-4772-B6B9-B6D7386CAF7D}"/>
    <hyperlink ref="AO578" r:id="rId186" xr:uid="{501E64A6-CB27-4429-9E7C-1050A38BD815}"/>
    <hyperlink ref="AO579" r:id="rId187" xr:uid="{499571CD-5452-4F78-9F3F-290F8AA8B1E9}"/>
    <hyperlink ref="AO595" r:id="rId188" xr:uid="{7BDB0BCF-1D80-48E9-8CC0-49AAE13097EE}"/>
    <hyperlink ref="AO599" r:id="rId189" xr:uid="{DE376F26-2AE6-4C5E-80F3-0D5D4F1C0D1D}"/>
    <hyperlink ref="AO600" r:id="rId190" xr:uid="{ADD4A0AD-BEF5-42C7-A31D-36B92E16EF07}"/>
    <hyperlink ref="AO627" r:id="rId191" xr:uid="{8D683F3B-BC86-4DFC-BCA1-292FA2CF4139}"/>
    <hyperlink ref="AO597" r:id="rId192" xr:uid="{6AEDC12B-FC15-48ED-8DFB-2B647D7E6C9A}"/>
    <hyperlink ref="AO610" r:id="rId193" xr:uid="{EDA9F0E7-053B-4958-A8CD-EB4ED06778D7}"/>
    <hyperlink ref="N490" r:id="rId194" xr:uid="{E1F533B1-15AA-4C31-A62A-E6E591F35191}"/>
    <hyperlink ref="N532" r:id="rId195" xr:uid="{156C91E7-9606-42EA-A3E8-311E0B8A480A}"/>
    <hyperlink ref="AO602" r:id="rId196" xr:uid="{DB506D86-C442-4B5D-B223-6BB82D483409}"/>
    <hyperlink ref="AO611" r:id="rId197" xr:uid="{99AA86F6-ADC2-497B-93C8-70256E51A17E}"/>
    <hyperlink ref="AO429" r:id="rId198" xr:uid="{56560651-DEDE-4C8E-BAA7-D44BECCB0326}"/>
    <hyperlink ref="AO620" r:id="rId199" xr:uid="{A41A8CC7-20FC-469D-9DC7-928DFD5A045B}"/>
    <hyperlink ref="AO641" r:id="rId200" xr:uid="{7A999754-DCA1-48B4-83D5-8FD8F5097EEE}"/>
    <hyperlink ref="AO639" r:id="rId201" xr:uid="{D5993B7B-F28C-4CE1-BD10-07254DE9EE45}"/>
    <hyperlink ref="AO669" r:id="rId202" xr:uid="{08619309-B2BC-47CD-920C-8B37A7D025CA}"/>
    <hyperlink ref="AO665" r:id="rId203" xr:uid="{63DEEADD-7716-4BE0-863A-24185EF579BF}"/>
    <hyperlink ref="AO667" r:id="rId204" xr:uid="{B6293E43-64AA-469A-ABD7-DCF2FE5A5EFA}"/>
    <hyperlink ref="AO678" r:id="rId205" xr:uid="{CC42A5AF-F396-44B0-83DF-B62A0DA39042}"/>
    <hyperlink ref="AO681" r:id="rId206" xr:uid="{86F2AE1D-BB5D-4AA9-89C5-F0147960C829}"/>
    <hyperlink ref="AO698" r:id="rId207" xr:uid="{4DB8E2A0-1B41-49E6-BE60-6F7A9D5533E8}"/>
    <hyperlink ref="AO707" r:id="rId208" xr:uid="{41254E2E-57F5-4F2A-85AD-63995E1C14B7}"/>
    <hyperlink ref="AO709" r:id="rId209" xr:uid="{2C19CD6F-D77C-447B-94A6-2BDE361D5EA8}"/>
    <hyperlink ref="AO711" r:id="rId210" xr:uid="{DDEFBBE4-64D9-4AFB-8D0E-5BF5EBA250B9}"/>
    <hyperlink ref="AO725" r:id="rId211" xr:uid="{E9877FC1-08C2-4E70-B7A8-9A99ECD83030}"/>
    <hyperlink ref="AO718" r:id="rId212" xr:uid="{5DF25E14-346F-4999-881C-F79AD8B7799C}"/>
    <hyperlink ref="AO702" r:id="rId213" xr:uid="{7D236A4B-D4D4-4F0F-8A36-BA7216AD9894}"/>
    <hyperlink ref="AO719" r:id="rId214" xr:uid="{3FE91695-01F2-44ED-9C3D-3C0EA6695775}"/>
    <hyperlink ref="N730" r:id="rId215" xr:uid="{94BE169F-B77D-4673-B53B-A3F51F811EDF}"/>
    <hyperlink ref="AO745" r:id="rId216" xr:uid="{F82EA833-0F66-4424-AD79-01CC376FFD88}"/>
    <hyperlink ref="AO747" r:id="rId217" xr:uid="{E44F944B-9718-4B4E-9E6D-34D90EC0A8C4}"/>
    <hyperlink ref="AO758" r:id="rId218" xr:uid="{F5BAA440-6B3E-4765-9222-4F355D8AF9DF}"/>
    <hyperlink ref="AO757" r:id="rId219" xr:uid="{21C848E1-F764-4AB0-8513-67B41B5689EE}"/>
    <hyperlink ref="AO769" r:id="rId220" xr:uid="{F4A7DADD-B9B2-49C1-92AD-125247AE8A09}"/>
    <hyperlink ref="AO766" r:id="rId221" xr:uid="{815B6708-602C-46FC-8D71-2648DDD81DB6}"/>
    <hyperlink ref="AO768" r:id="rId222" xr:uid="{813FEC2B-F888-4966-BF07-8BDFD53474F8}"/>
    <hyperlink ref="AO772" r:id="rId223" xr:uid="{C06D2E4A-1C76-48DB-9902-5D6B72F5EC1B}"/>
    <hyperlink ref="N804" r:id="rId224" xr:uid="{B324EE70-FFA5-4D5C-9438-49B13A4ABBBE}"/>
    <hyperlink ref="N805" r:id="rId225" xr:uid="{8DBA6571-D3D5-41AF-92AB-AC40EBF89597}"/>
    <hyperlink ref="N806" r:id="rId226" xr:uid="{0C0B25F3-EEAD-48F0-8DF5-66B8BB864756}"/>
    <hyperlink ref="N807" r:id="rId227" xr:uid="{C73F0B7D-EC4E-4DD5-90ED-88E0C7270E87}"/>
    <hyperlink ref="N808" r:id="rId228" xr:uid="{B418C887-B1B5-4049-AD4A-E84E278A666B}"/>
    <hyperlink ref="AO774" r:id="rId229" xr:uid="{1A9EB31D-AB9D-4388-A4E6-495E047C84C7}"/>
    <hyperlink ref="N809" r:id="rId230" xr:uid="{1AAB27A8-8149-4411-A2B2-0293357B995B}"/>
    <hyperlink ref="N810" r:id="rId231" xr:uid="{D0F643D6-03C2-44FE-9209-E0CE95CC98D3}"/>
    <hyperlink ref="N811" r:id="rId232" xr:uid="{C2E58D85-DC34-4E71-83E5-2897D7BEC8E3}"/>
    <hyperlink ref="N812" r:id="rId233" xr:uid="{B1569B2D-4F8B-4290-94BC-47C6FDAD2D4F}"/>
    <hyperlink ref="N813" r:id="rId234" xr:uid="{7713B1A0-9621-47E8-8878-499EB88E0627}"/>
    <hyperlink ref="N814" r:id="rId235" xr:uid="{7CE301FE-4D08-48C3-9ADA-7C09E9500212}"/>
    <hyperlink ref="N815" r:id="rId236" xr:uid="{EDA6706B-536E-41BB-8659-6CAA56C355DD}"/>
    <hyperlink ref="N816" r:id="rId237" xr:uid="{D950455D-F143-4253-B5E0-B8B81D26BC53}"/>
    <hyperlink ref="N817" r:id="rId238" xr:uid="{113EC495-6C3F-4A99-9306-D26583C54DF4}"/>
    <hyperlink ref="N818" r:id="rId239" xr:uid="{28F73BD0-DB74-4029-9313-E216666CC0DE}"/>
    <hyperlink ref="N819" r:id="rId240" xr:uid="{3A8E6DD7-20D1-4675-AF03-A6DCA1465D32}"/>
    <hyperlink ref="N820" r:id="rId241" xr:uid="{77F952A2-51B5-4539-80B3-0B35EB2C3C2D}"/>
    <hyperlink ref="N821" r:id="rId242" xr:uid="{F51F0BD7-AC5F-4607-B372-C03ED4035B4A}"/>
    <hyperlink ref="N822" r:id="rId243" xr:uid="{9E0E7C29-C657-4C45-8235-35A99B2F2EBF}"/>
    <hyperlink ref="N823" r:id="rId244" xr:uid="{BDD26839-EB4C-4371-9749-48A4D42C0A8E}"/>
    <hyperlink ref="N824" r:id="rId245" xr:uid="{FFE1B202-0B00-407C-954B-9D4A29495B9E}"/>
    <hyperlink ref="N825" r:id="rId246" xr:uid="{251E7A5C-4978-4932-9FA7-E65B1836A6FB}"/>
    <hyperlink ref="N826" r:id="rId247" xr:uid="{5EDC1E72-6927-473A-BFD0-4B7FED77FCD4}"/>
    <hyperlink ref="N827" r:id="rId248" xr:uid="{9FDB6057-669A-4A7B-9BB0-2D21A7ED3098}"/>
    <hyperlink ref="N828" r:id="rId249" xr:uid="{F9FA087B-A132-49EC-BFC2-FAEFA69A0866}"/>
    <hyperlink ref="N829" r:id="rId250" xr:uid="{89F4EE08-1F64-4BAB-807A-A9974199A46B}"/>
    <hyperlink ref="N830" r:id="rId251" xr:uid="{A7778095-6208-4224-A792-D9012CC8803D}"/>
    <hyperlink ref="N831" r:id="rId252" xr:uid="{AD321271-2985-4567-98B6-4BFC1188D42D}"/>
    <hyperlink ref="N832" r:id="rId253" xr:uid="{18D3C65A-0263-41EF-ADC0-C597DAF243EF}"/>
    <hyperlink ref="N833" r:id="rId254" xr:uid="{6A627DE1-DEDE-4045-A71B-B718CFC313EC}"/>
    <hyperlink ref="AO796" r:id="rId255" xr:uid="{E108C378-6EE8-40EA-BDAF-F8FAADEFA507}"/>
    <hyperlink ref="AO779" r:id="rId256" xr:uid="{A46D6183-19F3-4F7E-90A6-8410E2667541}"/>
    <hyperlink ref="AO791" r:id="rId257" xr:uid="{6CEAFDC0-4963-443B-8211-550E2B3E2C8B}"/>
    <hyperlink ref="AO799" r:id="rId258" xr:uid="{A92639AD-F781-4E34-9FAC-1D0399BBF06C}"/>
    <hyperlink ref="AO842" r:id="rId259" xr:uid="{AB8ACE79-B50D-4645-86B6-167161E84C60}"/>
    <hyperlink ref="AO837" r:id="rId260" xr:uid="{7CFE3FD4-CAD3-4D0D-BCD7-AD066B64D707}"/>
    <hyperlink ref="AO855" r:id="rId261" xr:uid="{CA7FDF65-20ED-4F61-8532-DD6320758083}"/>
    <hyperlink ref="AO857" r:id="rId262" xr:uid="{A385C3F2-BBBE-462A-A454-D7F0CD1C6D17}"/>
    <hyperlink ref="AO859" r:id="rId263" xr:uid="{80B7B549-B9F6-405B-82B2-581C3852DF1F}"/>
    <hyperlink ref="AO844" r:id="rId264" xr:uid="{1CB21E31-7D94-4458-97CE-46A3A348E720}"/>
    <hyperlink ref="AO845" r:id="rId265" xr:uid="{67693713-CD2B-4F9A-A358-E9308718B460}"/>
    <hyperlink ref="AO846" r:id="rId266" xr:uid="{EF27EDFD-6323-426E-B81A-381A2BE37840}"/>
    <hyperlink ref="AO851" r:id="rId267" xr:uid="{A7CFE28F-EDC8-47B7-AAAD-CC363C0D2312}"/>
    <hyperlink ref="AO860" r:id="rId268" xr:uid="{4901E088-2855-44BF-BAE0-A4D0DE48BB62}"/>
    <hyperlink ref="AO861" r:id="rId269" xr:uid="{125854A8-2B03-43C4-AD2E-16A44CB9F085}"/>
    <hyperlink ref="AO866" r:id="rId270" xr:uid="{0E4F268E-1F17-4184-BF03-92C2464E81E7}"/>
    <hyperlink ref="AO871" r:id="rId271" xr:uid="{F8554C28-8721-4D79-9E8F-37D803397CCC}"/>
    <hyperlink ref="AO867" r:id="rId272" xr:uid="{07D4123E-1691-48B7-9C1E-DFC96AA5277F}"/>
    <hyperlink ref="AO881" r:id="rId273" xr:uid="{0FAAFA09-B9BE-4304-97A4-FB4C6EB314F8}"/>
    <hyperlink ref="AO882" r:id="rId274" xr:uid="{65BE5275-4C37-4C69-B888-DBD80F229D16}"/>
    <hyperlink ref="AO885" r:id="rId275" xr:uid="{829E6629-19E6-4235-AB96-4EB2F4A307B4}"/>
    <hyperlink ref="AO889" r:id="rId276" location="/l/meetup-join/19:meeting_ZmU4NmJkZmItZDZkMS00MTcwLThmODgtYWRiMDRhOWU4YTRk@thread.v2/0?context=%7b%22Tid%22%3a%22fc531237-43c6-44de-a1e8-d3bf6dc436e1%22%2c%22Oid%22%3a%22cad5d646-046d-49df-a496-74085da18f67%22%7d&amp;anon=true&amp;deeplinkId=ce093819-c20a-4516-8574-872dec6bb7b4" xr:uid="{EAF7FD7A-9601-4AAC-963C-9AD16A48D6E3}"/>
    <hyperlink ref="AO891" r:id="rId277" xr:uid="{D86FAA54-DFD1-43EA-99B2-3D65AB080ED3}"/>
    <hyperlink ref="AO895" r:id="rId278" xr:uid="{E1A5315A-7096-4D6E-96B8-D084D901DD91}"/>
    <hyperlink ref="AO894" r:id="rId279" xr:uid="{9DE8F5EB-9352-4570-9610-625FAD010370}"/>
    <hyperlink ref="AO892" r:id="rId280" xr:uid="{BEB33616-3D25-4ACD-A88E-29D5085B6E80}"/>
    <hyperlink ref="AO897" r:id="rId281" xr:uid="{330859F3-6D77-4B96-9083-519B0458B5B2}"/>
    <hyperlink ref="AO898" r:id="rId282" xr:uid="{03D9E7B2-C91B-4F60-BB98-DFF6961ED3A5}"/>
    <hyperlink ref="AO907" r:id="rId283" xr:uid="{A3C3352E-B3FB-42DE-A6A1-1E642AB927EB}"/>
    <hyperlink ref="AO958" r:id="rId284" xr:uid="{FD0F639E-7F35-42FF-A328-8A0A7DF2CD13}"/>
    <hyperlink ref="AO911" r:id="rId285" xr:uid="{E0302E64-FAD9-49BB-8503-C64CF800BB9C}"/>
    <hyperlink ref="AO909" r:id="rId286" xr:uid="{54EBCAB9-D486-472D-A1A6-42D1647AAA1C}"/>
    <hyperlink ref="AO910" r:id="rId287" xr:uid="{AFA0EEAA-EE4E-4918-9ABF-8527612CEFB0}"/>
    <hyperlink ref="AO933" r:id="rId288" xr:uid="{FE546ED0-1DCC-4AB3-9321-CB03694F4E90}"/>
    <hyperlink ref="AO929" r:id="rId289" xr:uid="{AE9B0326-2692-4EFB-BBE6-3244E0188B96}"/>
    <hyperlink ref="AO886" r:id="rId290" xr:uid="{ACA7D82B-D6ED-4A05-B250-E084B9A0E809}"/>
    <hyperlink ref="AO951" r:id="rId291" xr:uid="{40401B6F-9678-435D-A0AF-0D5489901F91}"/>
    <hyperlink ref="AO949" r:id="rId292" xr:uid="{24FECF7B-E801-4A5F-81FF-8D57D663EA06}"/>
    <hyperlink ref="AO953" r:id="rId293" xr:uid="{40230ACC-C66A-4CEA-82D5-FBFB3D98F28B}"/>
    <hyperlink ref="AO942" r:id="rId294" xr:uid="{19D2796C-46C8-4514-9108-4C956479A0B8}"/>
    <hyperlink ref="AO955" r:id="rId295" xr:uid="{31B86EF5-AB5A-4131-ADAF-00D6FDBB1B28}"/>
    <hyperlink ref="AO956" r:id="rId296" xr:uid="{75CAF126-B6D2-41FB-8370-E08256395584}"/>
    <hyperlink ref="AO963" r:id="rId297" xr:uid="{21EA199D-F41A-4827-B887-7BB74EDCA444}"/>
    <hyperlink ref="AO985" r:id="rId298" xr:uid="{E6E7DE86-7003-49AF-A9ED-BE0FB6327CEF}"/>
    <hyperlink ref="AO988" r:id="rId299" xr:uid="{A5D468EF-9E57-4052-BBD3-86B76A900EF9}"/>
    <hyperlink ref="AO1001" r:id="rId300" location="/l/meetup-join/19:meeting_YzQ0NWRhYzUtZmExYi00NjE4LWE2NGEtYTM5ZmE2ZGY1OTUw@thread.v2/0?context=%7b%22Tid%22%3a%2214de155f-e192-44da-994d-1913d8658372%22%2c%22Oid%22%3a%22dd92112c-7ae3-43df-aeac-edfc7371ec10%22%7d&amp;anon=true&amp;deeplinkId=487b4c94-9899-464f-9135-207f82bb8bcf" xr:uid="{2A534BC8-93CC-4EF4-BF88-B61C14E3AC9E}"/>
    <hyperlink ref="AO1003" r:id="rId301" xr:uid="{6D9995A5-5832-4274-9795-56EE026A0C0C}"/>
    <hyperlink ref="AO986" r:id="rId302" xr:uid="{5ED2B4C3-83D3-4C24-9448-04998ADF7027}"/>
    <hyperlink ref="AO984" r:id="rId303" xr:uid="{5FFD03E7-54C6-4C8F-B8F0-47B524805D8A}"/>
    <hyperlink ref="AO997" r:id="rId304" xr:uid="{20158D9F-0685-4423-A9B6-561A23C4B090}"/>
    <hyperlink ref="N1002" r:id="rId305" xr:uid="{5264348E-A352-4111-A3C6-14EA8FE22E68}"/>
    <hyperlink ref="AO1002" r:id="rId306" xr:uid="{F35B0669-CB77-423E-8408-2BA648F55E2E}"/>
    <hyperlink ref="AO1004" r:id="rId307" xr:uid="{CFA83645-89CC-472F-BA9C-D0D7EE193D66}"/>
    <hyperlink ref="AO1035" r:id="rId308" xr:uid="{08D8B8BE-C57F-40AA-B117-880DE905C039}"/>
    <hyperlink ref="AO1031" r:id="rId309" xr:uid="{27C56FF1-5EF3-4BB1-B1CE-4FE2465200CF}"/>
    <hyperlink ref="AO1051" r:id="rId310" xr:uid="{558F1884-175F-421E-AB72-3257FE0AD7D5}"/>
    <hyperlink ref="AO1045" r:id="rId311" xr:uid="{F23C9686-E674-49EB-8C98-42CFDC50521F}"/>
    <hyperlink ref="AO1042" r:id="rId312" xr:uid="{7CF8F60F-A773-4C0E-92FA-69A493F5463C}"/>
    <hyperlink ref="AO1044" r:id="rId313" xr:uid="{7FBD1024-253A-4885-A621-CE3AEF228ADD}"/>
    <hyperlink ref="N844" r:id="rId314" xr:uid="{90169572-7532-43AB-BF6D-060F2F38BC15}"/>
    <hyperlink ref="AO1049" r:id="rId315" xr:uid="{6C04BF37-2E0F-40F1-8535-C96ED3AEB06B}"/>
    <hyperlink ref="AO1057" r:id="rId316" xr:uid="{B69030EA-6716-4162-8370-C7094C45E5A6}"/>
    <hyperlink ref="AO959" r:id="rId317" xr:uid="{49203600-C1B7-4994-B10A-1EA6BBD3B5A5}"/>
    <hyperlink ref="AO1062" r:id="rId318" xr:uid="{48238271-9980-41DE-B5FD-82C934000799}"/>
    <hyperlink ref="AO1082" r:id="rId319" xr:uid="{B9BD8907-77A7-41D5-9B87-FA97B3FA1F59}"/>
    <hyperlink ref="N1087" r:id="rId320" xr:uid="{F107D18D-F4FC-4152-BB80-ADC8C61194C6}"/>
    <hyperlink ref="AO1100" r:id="rId321" xr:uid="{5984E24E-5A0C-402E-BDA9-0C7FF7415A21}"/>
    <hyperlink ref="AO1099" r:id="rId322" xr:uid="{207C6F59-46F0-4663-8A11-EB94109016C4}"/>
    <hyperlink ref="AO1095" r:id="rId323" xr:uid="{E53EFF1F-87DD-4470-8C0E-41DFC48C56AD}"/>
    <hyperlink ref="AO1103" r:id="rId324" xr:uid="{7FE83A89-3F6E-4ECC-A026-2F289F887C81}"/>
    <hyperlink ref="AO1104" r:id="rId325" xr:uid="{7240F6F0-1D39-4FA5-8E74-0A5D7A7D34EB}"/>
    <hyperlink ref="AO1113" r:id="rId326" xr:uid="{6FAB730E-B91A-4499-B0EE-499F68A4247B}"/>
    <hyperlink ref="AO1122" r:id="rId327" xr:uid="{F7AB4CEB-FB8C-4E06-9C3A-4F28062B9D2F}"/>
    <hyperlink ref="AO1112" r:id="rId328" xr:uid="{A42A34E9-5166-47C5-8DE0-20BE6154FFF1}"/>
    <hyperlink ref="AO1116" r:id="rId329" xr:uid="{B673462F-BBBD-4DF1-A0A1-F2B9C248D3B2}"/>
    <hyperlink ref="AO1121" r:id="rId330" xr:uid="{D7517763-6ECD-42C0-8BB6-FA7E913F819A}"/>
    <hyperlink ref="AO1125" r:id="rId331" xr:uid="{922B77C9-E91C-4136-A737-2E3D6D242B69}"/>
    <hyperlink ref="AO1093" r:id="rId332" xr:uid="{E0759AC6-B2D5-407A-BDEC-DEC4E25732AE}"/>
    <hyperlink ref="AO1124" r:id="rId333" xr:uid="{547CCF90-1C40-43EC-9DB0-919FB55EC462}"/>
    <hyperlink ref="AO1123" r:id="rId334" xr:uid="{0413CE7C-6817-4C44-88B7-D40CDF504F51}"/>
    <hyperlink ref="AO1054" r:id="rId335" xr:uid="{04830332-33DC-4771-8A43-E680D0C4127A}"/>
    <hyperlink ref="AO1140" r:id="rId336" xr:uid="{97414187-4B01-4CE2-AA9D-06292D154D9E}"/>
    <hyperlink ref="AO1126" r:id="rId337" xr:uid="{0F108D78-CD05-4AAA-8714-70E6C9C0D08E}"/>
    <hyperlink ref="AO1136" r:id="rId338" xr:uid="{D609E458-408E-4F6D-9B8F-D287816CC7D8}"/>
    <hyperlink ref="AO1171" r:id="rId339" xr:uid="{0DCC9901-9E40-40B6-87A7-E89578A57E83}"/>
    <hyperlink ref="AO1147" r:id="rId340" xr:uid="{BFB8B9EB-6E6F-45EC-9E0C-D4E375586A25}"/>
    <hyperlink ref="AO1139" r:id="rId341" xr:uid="{59A3C213-AD16-4B5B-8190-99B33DBB511F}"/>
    <hyperlink ref="AO1160" r:id="rId342" xr:uid="{1CDDFC75-5622-43FA-945B-B35A78C3A8A1}"/>
    <hyperlink ref="AO1172" r:id="rId343" xr:uid="{D5A77AA9-CD62-4AE8-A98B-4C6BBA1D1A10}"/>
    <hyperlink ref="AO1162" r:id="rId344" xr:uid="{681420F7-1FFE-46FE-A9DE-2509C9160CB7}"/>
    <hyperlink ref="AO1173" r:id="rId345" xr:uid="{89B780A5-C317-4B20-9EDE-DBFEC36FFDED}"/>
    <hyperlink ref="AO1175" r:id="rId346" xr:uid="{FB2EADFD-40BA-40D4-A185-999A40922FD7}"/>
    <hyperlink ref="AO1181" r:id="rId347" xr:uid="{C6EEBE42-9FC5-4266-ACED-4CD12CE63922}"/>
    <hyperlink ref="AO1190" r:id="rId348" xr:uid="{DDF464DA-4463-41AB-AF73-0D2DE425284A}"/>
    <hyperlink ref="AO1185" r:id="rId349" xr:uid="{EB28BE05-9DB6-43F2-A24E-7624B4F194A2}"/>
    <hyperlink ref="AO1180" r:id="rId350" xr:uid="{CEEC3BA1-78FE-4DBD-B88B-A5A9B87097BA}"/>
    <hyperlink ref="AO1189" r:id="rId351" xr:uid="{982BB529-03B3-45DB-B3EC-DC066751464D}"/>
    <hyperlink ref="AO1198" r:id="rId352" xr:uid="{CA026391-E377-4C2B-839A-98FFDF5C01BA}"/>
    <hyperlink ref="AO1197" r:id="rId353" xr:uid="{52279BB0-5B55-489E-91B6-75699A344EC9}"/>
    <hyperlink ref="AO1201" r:id="rId354" xr:uid="{8001096F-8ACF-4E05-8FF6-F2348A2707CA}"/>
    <hyperlink ref="AO1200" r:id="rId355" xr:uid="{51F2E89B-37D9-4FDC-8A7E-D3552F681550}"/>
    <hyperlink ref="AO1150" r:id="rId356" xr:uid="{2FB5CF05-B63A-4EBB-B670-FE0401A68C28}"/>
    <hyperlink ref="AO1178" r:id="rId357" xr:uid="{002F440A-4A9E-413F-BD2F-BEAB7AF0145A}"/>
    <hyperlink ref="AO1209" r:id="rId358" xr:uid="{8A1B45B3-0F8A-4C74-84D7-4552CB811575}"/>
    <hyperlink ref="AO1208" r:id="rId359" xr:uid="{7BFD73C0-A8D5-4F0C-BD47-C4DDC7C91F83}"/>
    <hyperlink ref="AO1235" r:id="rId360" xr:uid="{3E70DB71-92F1-4024-AC83-966D06122D1A}"/>
    <hyperlink ref="AO1236" r:id="rId361" xr:uid="{579AA169-1D87-49DB-A95D-8CFF9C6F7046}"/>
  </hyperlinks>
  <pageMargins left="0" right="0" top="0" bottom="0" header="0" footer="0"/>
  <extLst>
    <ext xmlns:x14="http://schemas.microsoft.com/office/spreadsheetml/2009/9/main" uri="{CCE6A557-97BC-4b89-ADB6-D9C93CAAB3DF}">
      <x14:dataValidations xmlns:xm="http://schemas.microsoft.com/office/excel/2006/main" disablePrompts="1" count="10">
        <x14:dataValidation type="list" allowBlank="1" showErrorMessage="1" xr:uid="{E5B7354E-AE6C-448E-977D-6B3BA85BAE5F}">
          <x14:formula1>
            <xm:f>BASE!$A$2:$A$3</xm:f>
          </x14:formula1>
          <xm:sqref>AQ6:AQ1292</xm:sqref>
        </x14:dataValidation>
        <x14:dataValidation type="list" allowBlank="1" showErrorMessage="1" xr:uid="{A1471561-6E37-4ADB-89D1-DA3D9101602C}">
          <x14:formula1>
            <xm:f>BASE!$H$2:$H$10</xm:f>
          </x14:formula1>
          <xm:sqref>AD796 W6:AB1292</xm:sqref>
        </x14:dataValidation>
        <x14:dataValidation type="list" allowBlank="1" showErrorMessage="1" xr:uid="{8A1A919E-7A4C-474C-82DE-616B92FCF5CE}">
          <x14:formula1>
            <xm:f>BASE!$P$2:$P$59</xm:f>
          </x14:formula1>
          <xm:sqref>AD792:AD795 AF790:AM802 AD6:AM789 AD790:AE791 AE792:AE802 AE803:AM848 AD797:AD848 AD849:AM1292</xm:sqref>
        </x14:dataValidation>
        <x14:dataValidation type="list" allowBlank="1" showErrorMessage="1" xr:uid="{654B0D6D-606F-40AF-BB5A-9540F6BE8A34}">
          <x14:formula1>
            <xm:f>BASE!$G$2:$G$26</xm:f>
          </x14:formula1>
          <xm:sqref>AD958 W941 AD941 W958 P943:P954 Q943:U959 P956:P959 P6:U942 P960:U1292</xm:sqref>
        </x14:dataValidation>
        <x14:dataValidation type="list" allowBlank="1" showErrorMessage="1" xr:uid="{0675327B-DA06-4815-8147-45B4ADB7DDF5}">
          <x14:formula1>
            <xm:f>BASE!$F$2:$F$49</xm:f>
          </x14:formula1>
          <xm:sqref>K6:K1292</xm:sqref>
        </x14:dataValidation>
        <x14:dataValidation type="list" allowBlank="1" showErrorMessage="1" xr:uid="{47EB8493-7BD9-440C-AC74-20675BD1E94E}">
          <x14:formula1>
            <xm:f>BASE!$B$2:$B$58</xm:f>
          </x14:formula1>
          <xm:sqref>F6:F1292</xm:sqref>
        </x14:dataValidation>
        <x14:dataValidation type="list" allowBlank="1" showErrorMessage="1" xr:uid="{C44C2621-B9BF-40EC-A337-9673FC8E3494}">
          <x14:formula1>
            <xm:f>BASE!$L$2:$L$65</xm:f>
          </x14:formula1>
          <xm:sqref>AR6:AR1292</xm:sqref>
        </x14:dataValidation>
        <x14:dataValidation type="list" allowBlank="1" showErrorMessage="1" xr:uid="{DF6F7602-3E43-4C23-8A72-BD0A42E5588E}">
          <x14:formula1>
            <xm:f>BASE!$I$2:$I$7</xm:f>
          </x14:formula1>
          <xm:sqref>I6:I1292</xm:sqref>
        </x14:dataValidation>
        <x14:dataValidation type="list" allowBlank="1" showErrorMessage="1" xr:uid="{39491DAD-C4F0-4EE4-B4CE-95418766B1F1}">
          <x14:formula1>
            <xm:f>BASE!$E$2:$E$7</xm:f>
          </x14:formula1>
          <xm:sqref>J6:J1292</xm:sqref>
        </x14:dataValidation>
        <x14:dataValidation type="list" allowBlank="1" showErrorMessage="1" xr:uid="{4D0BF1A0-4392-4BFB-91BE-84E6AE20580A}">
          <x14:formula1>
            <xm:f>BASE!$M$2:$M$12</xm:f>
          </x14:formula1>
          <xm:sqref>AX6:AZ1292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S11032"/>
  <sheetViews>
    <sheetView topLeftCell="A41" workbookViewId="0">
      <selection activeCell="I45" sqref="I45"/>
    </sheetView>
  </sheetViews>
  <sheetFormatPr baseColWidth="10" defaultColWidth="12.5546875" defaultRowHeight="15.75" customHeight="1"/>
  <cols>
    <col min="2" max="2" width="23.5546875" customWidth="1"/>
    <col min="4" max="4" width="17.33203125" customWidth="1"/>
    <col min="6" max="6" width="18.44140625" customWidth="1"/>
    <col min="9" max="9" width="17.88671875" customWidth="1"/>
    <col min="12" max="12" width="18.88671875" customWidth="1"/>
  </cols>
  <sheetData>
    <row r="1" spans="1:19" ht="30" customHeight="1">
      <c r="A1" s="12" t="s">
        <v>5675</v>
      </c>
      <c r="B1" s="12" t="s">
        <v>5676</v>
      </c>
      <c r="C1" s="12" t="s">
        <v>5677</v>
      </c>
      <c r="D1" s="12" t="s">
        <v>5678</v>
      </c>
      <c r="E1" s="12" t="s">
        <v>5679</v>
      </c>
      <c r="F1" s="12" t="s">
        <v>5680</v>
      </c>
      <c r="G1" s="12" t="s">
        <v>5681</v>
      </c>
      <c r="H1" s="12" t="s">
        <v>5682</v>
      </c>
      <c r="I1" s="12" t="s">
        <v>5683</v>
      </c>
      <c r="J1" s="12" t="s">
        <v>5684</v>
      </c>
      <c r="K1" s="12" t="s">
        <v>5685</v>
      </c>
      <c r="L1" s="12" t="s">
        <v>5686</v>
      </c>
      <c r="M1" s="12" t="s">
        <v>5687</v>
      </c>
      <c r="N1" s="12" t="s">
        <v>5688</v>
      </c>
      <c r="O1" s="12" t="s">
        <v>5681</v>
      </c>
      <c r="P1" s="12" t="s">
        <v>5689</v>
      </c>
      <c r="Q1" s="12"/>
      <c r="R1" s="12" t="s">
        <v>5690</v>
      </c>
      <c r="S1" s="12" t="s">
        <v>5690</v>
      </c>
    </row>
    <row r="2" spans="1:19" ht="27.6">
      <c r="A2" s="10" t="s">
        <v>60</v>
      </c>
      <c r="B2" s="10" t="s">
        <v>1853</v>
      </c>
      <c r="C2" s="10" t="s">
        <v>95</v>
      </c>
      <c r="D2" s="10" t="s">
        <v>338</v>
      </c>
      <c r="E2" s="10" t="s">
        <v>70</v>
      </c>
      <c r="F2" s="10" t="s">
        <v>4492</v>
      </c>
      <c r="G2" s="10" t="s">
        <v>413</v>
      </c>
      <c r="H2" s="10" t="s">
        <v>415</v>
      </c>
      <c r="I2" s="10" t="s">
        <v>172</v>
      </c>
      <c r="J2" s="10" t="s">
        <v>1947</v>
      </c>
      <c r="K2" s="10" t="s">
        <v>82</v>
      </c>
      <c r="L2" s="10" t="s">
        <v>199</v>
      </c>
      <c r="M2" s="10" t="s">
        <v>211</v>
      </c>
      <c r="N2" s="10" t="s">
        <v>5691</v>
      </c>
      <c r="O2" s="10" t="s">
        <v>413</v>
      </c>
      <c r="P2" s="10" t="s">
        <v>110</v>
      </c>
      <c r="Q2" s="10"/>
      <c r="R2" s="10" t="s">
        <v>80</v>
      </c>
      <c r="S2" s="10" t="s">
        <v>80</v>
      </c>
    </row>
    <row r="3" spans="1:19" ht="27.6">
      <c r="A3" s="10" t="s">
        <v>59</v>
      </c>
      <c r="B3" s="10" t="s">
        <v>1818</v>
      </c>
      <c r="C3" s="10" t="s">
        <v>62</v>
      </c>
      <c r="D3" s="10" t="s">
        <v>4974</v>
      </c>
      <c r="E3" s="10" t="s">
        <v>376</v>
      </c>
      <c r="F3" s="10" t="s">
        <v>5692</v>
      </c>
      <c r="G3" s="10" t="s">
        <v>686</v>
      </c>
      <c r="H3" s="10" t="s">
        <v>395</v>
      </c>
      <c r="I3" s="10" t="s">
        <v>193</v>
      </c>
      <c r="J3" s="10" t="s">
        <v>2382</v>
      </c>
      <c r="K3" s="10" t="s">
        <v>2468</v>
      </c>
      <c r="L3" s="10" t="s">
        <v>398</v>
      </c>
      <c r="M3" s="10" t="s">
        <v>246</v>
      </c>
      <c r="N3" s="10" t="s">
        <v>5693</v>
      </c>
      <c r="O3" s="10" t="s">
        <v>686</v>
      </c>
      <c r="P3" s="10" t="s">
        <v>686</v>
      </c>
      <c r="Q3" s="10"/>
      <c r="R3" s="10">
        <v>0</v>
      </c>
      <c r="S3" s="10">
        <v>0</v>
      </c>
    </row>
    <row r="4" spans="1:19" ht="27.6">
      <c r="A4" s="10"/>
      <c r="B4" s="10" t="s">
        <v>186</v>
      </c>
      <c r="C4" s="10"/>
      <c r="D4" s="10" t="s">
        <v>4047</v>
      </c>
      <c r="E4" s="10" t="s">
        <v>119</v>
      </c>
      <c r="F4" s="10" t="s">
        <v>2330</v>
      </c>
      <c r="G4" s="10" t="s">
        <v>472</v>
      </c>
      <c r="H4" s="10" t="s">
        <v>429</v>
      </c>
      <c r="I4" s="10" t="s">
        <v>64</v>
      </c>
      <c r="J4" s="10" t="s">
        <v>831</v>
      </c>
      <c r="K4" s="10" t="s">
        <v>80</v>
      </c>
      <c r="L4" s="10" t="s">
        <v>1741</v>
      </c>
      <c r="M4" s="10"/>
      <c r="N4" s="10"/>
      <c r="O4" s="10"/>
      <c r="P4" s="10"/>
      <c r="Q4" s="10"/>
      <c r="R4" s="10">
        <v>1</v>
      </c>
      <c r="S4" s="10">
        <v>1</v>
      </c>
    </row>
    <row r="5" spans="1:19" ht="55.2">
      <c r="A5" s="10"/>
      <c r="B5" s="10" t="s">
        <v>321</v>
      </c>
      <c r="C5" s="10"/>
      <c r="D5" s="10" t="s">
        <v>929</v>
      </c>
      <c r="E5" s="10" t="s">
        <v>3798</v>
      </c>
      <c r="F5" s="10" t="s">
        <v>533</v>
      </c>
      <c r="G5" s="10" t="s">
        <v>221</v>
      </c>
      <c r="H5" s="10" t="s">
        <v>124</v>
      </c>
      <c r="I5" s="10" t="s">
        <v>188</v>
      </c>
      <c r="J5" s="10" t="s">
        <v>81</v>
      </c>
      <c r="K5" s="10" t="s">
        <v>87</v>
      </c>
      <c r="L5" s="10" t="s">
        <v>2854</v>
      </c>
      <c r="M5" s="10" t="s">
        <v>5694</v>
      </c>
      <c r="N5" s="10" t="s">
        <v>5695</v>
      </c>
      <c r="O5" s="10" t="s">
        <v>472</v>
      </c>
      <c r="P5" s="10" t="s">
        <v>472</v>
      </c>
      <c r="Q5" s="10"/>
      <c r="R5" s="10">
        <v>2</v>
      </c>
      <c r="S5" s="10">
        <v>2</v>
      </c>
    </row>
    <row r="6" spans="1:19" ht="41.4">
      <c r="A6" s="10"/>
      <c r="B6" s="10" t="s">
        <v>2227</v>
      </c>
      <c r="C6" s="10"/>
      <c r="D6" s="10" t="s">
        <v>231</v>
      </c>
      <c r="E6" s="10" t="s">
        <v>816</v>
      </c>
      <c r="F6" s="10" t="s">
        <v>120</v>
      </c>
      <c r="G6" s="10" t="s">
        <v>107</v>
      </c>
      <c r="H6" s="10" t="s">
        <v>474</v>
      </c>
      <c r="I6" s="10" t="s">
        <v>118</v>
      </c>
      <c r="J6" s="10"/>
      <c r="K6" s="10" t="s">
        <v>1780</v>
      </c>
      <c r="L6" s="10" t="s">
        <v>77</v>
      </c>
      <c r="M6" s="10" t="s">
        <v>213</v>
      </c>
      <c r="N6" s="10"/>
      <c r="O6" s="10" t="s">
        <v>487</v>
      </c>
      <c r="P6" s="10" t="s">
        <v>876</v>
      </c>
      <c r="Q6" s="10"/>
      <c r="R6" s="10">
        <v>3</v>
      </c>
      <c r="S6" s="10">
        <v>3</v>
      </c>
    </row>
    <row r="7" spans="1:19" ht="69">
      <c r="A7" s="10"/>
      <c r="B7" s="10" t="s">
        <v>102</v>
      </c>
      <c r="C7" s="10"/>
      <c r="D7" s="10" t="s">
        <v>540</v>
      </c>
      <c r="E7" s="10" t="s">
        <v>173</v>
      </c>
      <c r="F7" s="10" t="s">
        <v>5696</v>
      </c>
      <c r="G7" s="10" t="s">
        <v>73</v>
      </c>
      <c r="H7" s="10" t="s">
        <v>108</v>
      </c>
      <c r="I7" s="10" t="s">
        <v>128</v>
      </c>
      <c r="J7" s="10"/>
      <c r="K7" s="10" t="s">
        <v>1947</v>
      </c>
      <c r="L7" s="10" t="s">
        <v>80</v>
      </c>
      <c r="M7" s="10" t="s">
        <v>212</v>
      </c>
      <c r="N7" s="10"/>
      <c r="O7" s="10" t="s">
        <v>221</v>
      </c>
      <c r="P7" s="10" t="s">
        <v>488</v>
      </c>
      <c r="Q7" s="10"/>
      <c r="R7" s="10">
        <v>4</v>
      </c>
      <c r="S7" s="10">
        <v>4</v>
      </c>
    </row>
    <row r="8" spans="1:19" ht="27.6">
      <c r="A8" s="10"/>
      <c r="B8" s="10" t="s">
        <v>5697</v>
      </c>
      <c r="C8" s="10"/>
      <c r="D8" s="10" t="s">
        <v>4567</v>
      </c>
      <c r="F8" s="10" t="s">
        <v>5139</v>
      </c>
      <c r="G8" s="10" t="s">
        <v>123</v>
      </c>
      <c r="H8" s="10" t="s">
        <v>109</v>
      </c>
      <c r="J8" s="10"/>
      <c r="L8" s="10"/>
      <c r="M8" s="10" t="s">
        <v>78</v>
      </c>
      <c r="N8" s="10"/>
      <c r="O8" s="10" t="s">
        <v>107</v>
      </c>
      <c r="P8" s="10" t="s">
        <v>222</v>
      </c>
      <c r="Q8" s="10"/>
      <c r="R8" s="10">
        <v>5</v>
      </c>
      <c r="S8" s="10">
        <v>5</v>
      </c>
    </row>
    <row r="9" spans="1:19" ht="27.6">
      <c r="A9" s="10"/>
      <c r="B9" s="10" t="s">
        <v>2207</v>
      </c>
      <c r="C9" s="10"/>
      <c r="D9" s="10" t="s">
        <v>471</v>
      </c>
      <c r="E9" s="10"/>
      <c r="F9" s="10" t="s">
        <v>1810</v>
      </c>
      <c r="G9" s="10" t="s">
        <v>420</v>
      </c>
      <c r="H9" s="10" t="s">
        <v>5698</v>
      </c>
      <c r="I9" s="10"/>
      <c r="J9" s="10"/>
      <c r="K9" s="10"/>
      <c r="L9" s="10"/>
      <c r="M9" s="10"/>
      <c r="N9" s="10"/>
      <c r="O9" s="10"/>
      <c r="P9" s="10"/>
      <c r="Q9" s="10"/>
      <c r="R9" s="10">
        <v>6</v>
      </c>
      <c r="S9" s="10">
        <v>6</v>
      </c>
    </row>
    <row r="10" spans="1:19" ht="27.6">
      <c r="A10" s="10"/>
      <c r="B10" s="10" t="s">
        <v>116</v>
      </c>
      <c r="C10" s="10"/>
      <c r="D10" s="10" t="s">
        <v>355</v>
      </c>
      <c r="E10" s="10"/>
      <c r="F10" s="10" t="s">
        <v>5699</v>
      </c>
      <c r="G10" s="10" t="s">
        <v>473</v>
      </c>
      <c r="H10" s="10" t="s">
        <v>73</v>
      </c>
      <c r="I10" s="10"/>
      <c r="J10" s="10"/>
      <c r="K10" s="10"/>
      <c r="L10" s="10"/>
      <c r="M10" s="10"/>
      <c r="N10" s="10"/>
      <c r="O10" s="10"/>
      <c r="P10" s="10"/>
      <c r="Q10" s="10"/>
      <c r="R10" s="10"/>
      <c r="S10" s="10"/>
    </row>
    <row r="11" spans="1:19" ht="41.4">
      <c r="A11" s="10"/>
      <c r="B11" s="10" t="s">
        <v>135</v>
      </c>
      <c r="C11" s="10"/>
      <c r="D11" s="10" t="s">
        <v>427</v>
      </c>
      <c r="E11" s="10"/>
      <c r="F11" s="10" t="s">
        <v>97</v>
      </c>
      <c r="G11" s="10" t="s">
        <v>487</v>
      </c>
      <c r="I11" s="10"/>
      <c r="J11" s="10"/>
      <c r="K11" s="10"/>
      <c r="L11" s="10"/>
      <c r="M11" s="10"/>
      <c r="N11" s="10"/>
      <c r="O11" s="10"/>
      <c r="P11" s="10"/>
      <c r="Q11" s="10"/>
      <c r="R11" s="10"/>
      <c r="S11" s="10"/>
    </row>
    <row r="12" spans="1:19" ht="27.6">
      <c r="A12" s="10"/>
      <c r="B12" s="10" t="s">
        <v>1845</v>
      </c>
      <c r="C12" s="10"/>
      <c r="D12" s="10" t="s">
        <v>967</v>
      </c>
      <c r="E12" s="10"/>
      <c r="F12" s="10" t="s">
        <v>300</v>
      </c>
      <c r="G12" s="10" t="s">
        <v>542</v>
      </c>
      <c r="I12" s="10"/>
      <c r="J12" s="10"/>
      <c r="K12" s="10"/>
      <c r="L12" s="10"/>
      <c r="M12" s="10" t="s">
        <v>75</v>
      </c>
      <c r="N12" s="10"/>
      <c r="O12" s="10" t="s">
        <v>123</v>
      </c>
      <c r="P12" s="10" t="s">
        <v>221</v>
      </c>
      <c r="Q12" s="10"/>
      <c r="R12" s="10">
        <v>7</v>
      </c>
      <c r="S12" s="10">
        <v>7</v>
      </c>
    </row>
    <row r="13" spans="1:19" ht="27.6">
      <c r="A13" s="10"/>
      <c r="B13" s="10" t="s">
        <v>5700</v>
      </c>
      <c r="C13" s="10"/>
      <c r="D13" s="10" t="s">
        <v>4048</v>
      </c>
      <c r="E13" s="10"/>
      <c r="F13" s="10" t="s">
        <v>5701</v>
      </c>
      <c r="G13" s="10" t="s">
        <v>3483</v>
      </c>
      <c r="I13" s="10"/>
      <c r="J13" s="10"/>
      <c r="K13" s="10"/>
      <c r="L13" s="10"/>
      <c r="M13" s="10"/>
      <c r="N13" s="10"/>
      <c r="O13" s="10" t="s">
        <v>420</v>
      </c>
      <c r="P13" s="10" t="s">
        <v>112</v>
      </c>
      <c r="Q13" s="10"/>
      <c r="R13" s="10">
        <v>8</v>
      </c>
      <c r="S13" s="10">
        <v>8</v>
      </c>
    </row>
    <row r="14" spans="1:19" ht="27.6">
      <c r="A14" s="10"/>
      <c r="B14" s="10" t="s">
        <v>5702</v>
      </c>
      <c r="C14" s="10"/>
      <c r="D14" s="10" t="s">
        <v>356</v>
      </c>
      <c r="E14" s="10"/>
      <c r="F14" s="10" t="s">
        <v>209</v>
      </c>
      <c r="G14" s="10" t="s">
        <v>823</v>
      </c>
      <c r="I14" s="10"/>
      <c r="J14" s="10"/>
      <c r="K14" s="10"/>
      <c r="L14" s="10"/>
      <c r="M14" s="10"/>
      <c r="N14" s="10"/>
      <c r="O14" s="10" t="s">
        <v>473</v>
      </c>
      <c r="P14" s="10" t="s">
        <v>704</v>
      </c>
      <c r="Q14" s="10"/>
      <c r="R14" s="10">
        <v>9</v>
      </c>
      <c r="S14" s="10">
        <v>9</v>
      </c>
    </row>
    <row r="15" spans="1:19" ht="27.6">
      <c r="A15" s="10"/>
      <c r="B15" s="10" t="s">
        <v>61</v>
      </c>
      <c r="C15" s="10"/>
      <c r="D15" s="10" t="s">
        <v>2061</v>
      </c>
      <c r="E15" s="10"/>
      <c r="F15" s="10" t="s">
        <v>1369</v>
      </c>
      <c r="G15" s="10" t="s">
        <v>414</v>
      </c>
      <c r="H15" s="10"/>
      <c r="I15" s="10"/>
      <c r="J15" s="10"/>
      <c r="K15" s="10"/>
      <c r="L15" s="10"/>
      <c r="M15" s="10"/>
      <c r="N15" s="10"/>
      <c r="O15" s="10" t="s">
        <v>542</v>
      </c>
      <c r="P15" s="10" t="s">
        <v>123</v>
      </c>
      <c r="Q15" s="10"/>
      <c r="R15" s="10">
        <v>10</v>
      </c>
      <c r="S15" s="10">
        <v>10</v>
      </c>
    </row>
    <row r="16" spans="1:19" ht="27.6">
      <c r="A16" s="10"/>
      <c r="B16" s="10" t="s">
        <v>2358</v>
      </c>
      <c r="C16" s="10"/>
      <c r="D16" s="10" t="s">
        <v>68</v>
      </c>
      <c r="E16" s="10"/>
      <c r="F16" s="10" t="s">
        <v>217</v>
      </c>
      <c r="G16" s="10" t="s">
        <v>370</v>
      </c>
      <c r="H16" s="10"/>
      <c r="I16" s="10"/>
      <c r="J16" s="10"/>
      <c r="K16" s="10"/>
      <c r="L16" s="13"/>
      <c r="M16" s="10"/>
      <c r="N16" s="10"/>
      <c r="O16" s="10"/>
      <c r="P16" s="10"/>
      <c r="Q16" s="10"/>
      <c r="R16" s="10">
        <v>11</v>
      </c>
      <c r="S16" s="10"/>
    </row>
    <row r="17" spans="1:19" ht="27.6">
      <c r="A17" s="10"/>
      <c r="B17" s="10" t="s">
        <v>1878</v>
      </c>
      <c r="C17" s="10"/>
      <c r="D17" s="10" t="s">
        <v>262</v>
      </c>
      <c r="E17" s="10"/>
      <c r="F17" s="10" t="s">
        <v>129</v>
      </c>
      <c r="G17" s="10" t="s">
        <v>541</v>
      </c>
      <c r="H17" s="10"/>
      <c r="I17" s="10"/>
      <c r="J17" s="10"/>
      <c r="K17" s="10"/>
      <c r="L17" s="10"/>
      <c r="M17" s="10"/>
      <c r="N17" s="10"/>
      <c r="O17" s="10" t="s">
        <v>823</v>
      </c>
      <c r="P17" s="10" t="s">
        <v>420</v>
      </c>
      <c r="Q17" s="10"/>
      <c r="R17" s="10">
        <v>12</v>
      </c>
      <c r="S17" s="10"/>
    </row>
    <row r="18" spans="1:19" ht="27.6">
      <c r="A18" s="10"/>
      <c r="B18" s="10" t="s">
        <v>1486</v>
      </c>
      <c r="C18" s="10"/>
      <c r="D18" s="10" t="s">
        <v>584</v>
      </c>
      <c r="E18" s="10"/>
      <c r="F18" s="10" t="s">
        <v>2184</v>
      </c>
      <c r="G18" s="10" t="s">
        <v>394</v>
      </c>
      <c r="H18" s="10"/>
      <c r="I18" s="10"/>
      <c r="J18" s="10"/>
      <c r="K18" s="10"/>
      <c r="L18" s="10"/>
      <c r="M18" s="10"/>
      <c r="N18" s="10"/>
      <c r="O18" s="10"/>
      <c r="P18" s="10"/>
      <c r="Q18" s="10"/>
      <c r="R18" s="10"/>
      <c r="S18" s="10"/>
    </row>
    <row r="19" spans="1:19" ht="27.6">
      <c r="A19" s="10"/>
      <c r="B19" s="10" t="s">
        <v>1472</v>
      </c>
      <c r="C19" s="10"/>
      <c r="D19" s="10" t="s">
        <v>4245</v>
      </c>
      <c r="E19" s="10"/>
      <c r="F19" s="10" t="s">
        <v>557</v>
      </c>
      <c r="G19" s="10" t="s">
        <v>327</v>
      </c>
      <c r="H19" s="10"/>
      <c r="I19" s="10"/>
      <c r="J19" s="10"/>
      <c r="K19" s="10"/>
      <c r="L19" s="10"/>
      <c r="M19" s="10"/>
      <c r="N19" s="10"/>
      <c r="O19" s="10" t="s">
        <v>414</v>
      </c>
      <c r="P19" s="10" t="s">
        <v>473</v>
      </c>
      <c r="Q19" s="10"/>
      <c r="R19" s="10">
        <v>13</v>
      </c>
      <c r="S19" s="10"/>
    </row>
    <row r="20" spans="1:19" ht="27.6">
      <c r="A20" s="10"/>
      <c r="B20" s="10" t="s">
        <v>1205</v>
      </c>
      <c r="C20" s="10"/>
      <c r="D20" s="10" t="s">
        <v>362</v>
      </c>
      <c r="E20" s="10"/>
      <c r="F20" s="10"/>
      <c r="G20" s="10"/>
      <c r="H20" s="10"/>
      <c r="I20" s="10"/>
      <c r="J20" s="10"/>
      <c r="K20" s="10"/>
      <c r="L20" s="10"/>
      <c r="M20" s="10"/>
      <c r="N20" s="10"/>
      <c r="O20" s="10"/>
      <c r="P20" s="10"/>
      <c r="Q20" s="10"/>
      <c r="R20" s="10"/>
      <c r="S20" s="10"/>
    </row>
    <row r="21" spans="1:19" ht="27.6">
      <c r="A21" s="10"/>
      <c r="B21" s="10" t="s">
        <v>1142</v>
      </c>
      <c r="C21" s="10"/>
      <c r="D21" s="10" t="s">
        <v>5703</v>
      </c>
      <c r="E21" s="10"/>
      <c r="F21" s="10" t="s">
        <v>610</v>
      </c>
      <c r="G21" s="10" t="s">
        <v>665</v>
      </c>
      <c r="H21" s="10"/>
      <c r="I21" s="10"/>
      <c r="J21" s="10"/>
      <c r="K21" s="10"/>
      <c r="L21" s="10"/>
      <c r="M21" s="10"/>
      <c r="N21" s="10"/>
      <c r="O21" s="10"/>
      <c r="P21" s="10"/>
      <c r="Q21" s="10"/>
      <c r="R21" s="10"/>
      <c r="S21" s="10"/>
    </row>
    <row r="22" spans="1:19" ht="41.4">
      <c r="A22" s="10"/>
      <c r="B22" s="10" t="s">
        <v>833</v>
      </c>
      <c r="C22" s="10"/>
      <c r="D22" s="10" t="s">
        <v>3997</v>
      </c>
      <c r="E22" s="10"/>
      <c r="F22" s="10" t="s">
        <v>104</v>
      </c>
      <c r="G22" s="10" t="s">
        <v>618</v>
      </c>
      <c r="H22" s="10"/>
      <c r="I22" s="10"/>
      <c r="J22" s="10"/>
      <c r="K22" s="10"/>
      <c r="L22" s="10"/>
      <c r="M22" s="10"/>
      <c r="N22" s="10"/>
      <c r="O22" s="10"/>
      <c r="P22" s="10"/>
      <c r="Q22" s="10"/>
      <c r="R22" s="10"/>
      <c r="S22" s="10"/>
    </row>
    <row r="23" spans="1:19" ht="41.4">
      <c r="A23" s="10"/>
      <c r="B23" s="10" t="s">
        <v>1343</v>
      </c>
      <c r="C23" s="10"/>
      <c r="D23" s="10" t="s">
        <v>340</v>
      </c>
      <c r="E23" s="10"/>
      <c r="F23" s="10" t="s">
        <v>5056</v>
      </c>
      <c r="G23" s="10" t="s">
        <v>428</v>
      </c>
      <c r="H23" s="10"/>
      <c r="I23" s="10"/>
      <c r="J23" s="10"/>
      <c r="K23" s="10"/>
      <c r="L23" s="10"/>
      <c r="M23" s="10"/>
      <c r="N23" s="10"/>
      <c r="O23" s="10"/>
      <c r="P23" s="10"/>
      <c r="Q23" s="10"/>
      <c r="R23" s="10"/>
      <c r="S23" s="10"/>
    </row>
    <row r="24" spans="1:19" ht="27.6">
      <c r="A24" s="10"/>
      <c r="B24" s="10" t="s">
        <v>94</v>
      </c>
      <c r="C24" s="10"/>
      <c r="D24" s="10" t="s">
        <v>412</v>
      </c>
      <c r="E24" s="10"/>
      <c r="F24" s="10"/>
      <c r="G24" s="10" t="s">
        <v>670</v>
      </c>
      <c r="H24" s="10"/>
      <c r="I24" s="10"/>
      <c r="J24" s="10"/>
      <c r="K24" s="10"/>
      <c r="L24" s="10"/>
      <c r="M24" s="10"/>
      <c r="N24" s="10"/>
      <c r="O24" s="10"/>
      <c r="P24" s="10"/>
      <c r="Q24" s="10"/>
      <c r="R24" s="10"/>
      <c r="S24" s="10"/>
    </row>
    <row r="25" spans="1:19" ht="41.4">
      <c r="A25" s="10"/>
      <c r="B25" s="10" t="s">
        <v>5036</v>
      </c>
      <c r="C25" s="10"/>
      <c r="D25" s="10" t="s">
        <v>137</v>
      </c>
      <c r="E25" s="10"/>
      <c r="F25" s="10" t="s">
        <v>5704</v>
      </c>
      <c r="G25" s="10"/>
      <c r="H25" s="10"/>
      <c r="I25" s="10"/>
      <c r="J25" s="10"/>
      <c r="K25" s="10"/>
      <c r="L25" s="10"/>
      <c r="M25" s="10"/>
      <c r="N25" s="10"/>
      <c r="O25" s="10" t="s">
        <v>370</v>
      </c>
      <c r="P25" s="10" t="s">
        <v>111</v>
      </c>
      <c r="Q25" s="10"/>
      <c r="R25" s="10">
        <v>14</v>
      </c>
      <c r="S25" s="10"/>
    </row>
    <row r="26" spans="1:19" ht="27.6">
      <c r="A26" s="10"/>
      <c r="B26" s="10" t="s">
        <v>287</v>
      </c>
      <c r="C26" s="10"/>
      <c r="D26" s="10" t="s">
        <v>411</v>
      </c>
      <c r="E26" s="10"/>
      <c r="F26" s="10" t="s">
        <v>1322</v>
      </c>
      <c r="G26" s="10"/>
      <c r="H26" s="10"/>
      <c r="I26" s="10"/>
      <c r="J26" s="10"/>
      <c r="K26" s="10"/>
      <c r="M26" s="10"/>
      <c r="N26" s="10"/>
      <c r="O26" s="10" t="s">
        <v>541</v>
      </c>
      <c r="P26" s="10" t="s">
        <v>571</v>
      </c>
      <c r="Q26" s="10"/>
      <c r="R26" s="10">
        <v>15</v>
      </c>
      <c r="S26" s="10"/>
    </row>
    <row r="27" spans="1:19" ht="27.6">
      <c r="A27" s="10"/>
      <c r="B27" s="10" t="s">
        <v>170</v>
      </c>
      <c r="C27" s="10"/>
      <c r="D27" s="10" t="s">
        <v>357</v>
      </c>
      <c r="E27" s="10"/>
      <c r="F27" s="10"/>
      <c r="G27" s="10"/>
      <c r="H27" s="10"/>
      <c r="I27" s="10"/>
      <c r="J27" s="10"/>
      <c r="K27" s="10"/>
      <c r="M27" s="10"/>
      <c r="N27" s="10"/>
      <c r="O27" s="10"/>
      <c r="P27" s="10"/>
      <c r="Q27" s="10"/>
      <c r="R27" s="10"/>
      <c r="S27" s="10"/>
    </row>
    <row r="28" spans="1:19" ht="27.6">
      <c r="A28" s="10"/>
      <c r="B28" s="10" t="s">
        <v>1184</v>
      </c>
      <c r="C28" s="10"/>
      <c r="D28" s="10" t="s">
        <v>5167</v>
      </c>
      <c r="E28" s="10"/>
      <c r="F28" s="10" t="s">
        <v>5705</v>
      </c>
      <c r="G28" s="10"/>
      <c r="H28" s="10"/>
      <c r="I28" s="10"/>
      <c r="J28" s="10"/>
      <c r="K28" s="10"/>
      <c r="M28" s="10"/>
      <c r="N28" s="10"/>
      <c r="O28" s="10" t="s">
        <v>394</v>
      </c>
      <c r="P28" s="10" t="s">
        <v>639</v>
      </c>
      <c r="Q28" s="10"/>
      <c r="R28" s="10">
        <v>16</v>
      </c>
      <c r="S28" s="10"/>
    </row>
    <row r="29" spans="1:19" ht="27.6">
      <c r="A29" s="10"/>
      <c r="B29" s="10" t="s">
        <v>2680</v>
      </c>
      <c r="C29" s="10"/>
      <c r="D29" s="10" t="s">
        <v>5348</v>
      </c>
      <c r="E29" s="10"/>
      <c r="F29" s="10"/>
      <c r="G29" s="10"/>
      <c r="H29" s="10"/>
      <c r="I29" s="10"/>
      <c r="J29" s="10"/>
      <c r="K29" s="10"/>
      <c r="M29" s="10"/>
      <c r="N29" s="10"/>
      <c r="O29" s="10"/>
      <c r="P29" s="10"/>
      <c r="Q29" s="10"/>
      <c r="R29" s="10"/>
      <c r="S29" s="10"/>
    </row>
    <row r="30" spans="1:19" ht="27.6">
      <c r="A30" s="10"/>
      <c r="B30" s="10" t="s">
        <v>1769</v>
      </c>
      <c r="C30" s="10"/>
      <c r="D30" s="10" t="s">
        <v>4306</v>
      </c>
      <c r="E30" s="10"/>
      <c r="F30" s="10"/>
      <c r="G30" s="10"/>
      <c r="H30" s="10"/>
      <c r="I30" s="10"/>
      <c r="J30" s="10"/>
      <c r="K30" s="10"/>
      <c r="L30" s="10"/>
      <c r="M30" s="10"/>
      <c r="N30" s="10"/>
      <c r="O30" s="10"/>
      <c r="P30" s="10" t="s">
        <v>705</v>
      </c>
      <c r="Q30" s="10"/>
      <c r="R30" s="10"/>
      <c r="S30" s="10"/>
    </row>
    <row r="31" spans="1:19" ht="27.6">
      <c r="B31" s="10" t="s">
        <v>5706</v>
      </c>
      <c r="D31" s="10" t="s">
        <v>4031</v>
      </c>
    </row>
    <row r="32" spans="1:19" ht="27.6">
      <c r="A32" s="10"/>
      <c r="B32" s="10" t="s">
        <v>743</v>
      </c>
      <c r="C32" s="10"/>
      <c r="D32" s="10" t="s">
        <v>65</v>
      </c>
      <c r="E32" s="10"/>
      <c r="F32" s="10"/>
      <c r="G32" s="10"/>
      <c r="H32" s="10"/>
      <c r="I32" s="10"/>
      <c r="J32" s="10"/>
      <c r="K32" s="10"/>
      <c r="L32" s="10"/>
      <c r="M32" s="10"/>
      <c r="N32" s="10"/>
      <c r="O32" s="10"/>
      <c r="P32" s="10"/>
      <c r="Q32" s="10"/>
      <c r="R32" s="10"/>
      <c r="S32" s="10"/>
    </row>
    <row r="33" spans="1:18" ht="27.6">
      <c r="A33" s="10"/>
      <c r="B33" s="10" t="s">
        <v>2121</v>
      </c>
      <c r="C33" s="10"/>
      <c r="D33" s="10" t="s">
        <v>339</v>
      </c>
      <c r="E33" s="10"/>
      <c r="F33" s="10"/>
      <c r="G33" s="10"/>
      <c r="H33" s="10"/>
      <c r="I33" s="10"/>
      <c r="J33" s="10"/>
      <c r="K33" s="10"/>
      <c r="L33" s="10"/>
      <c r="M33" s="10"/>
      <c r="N33" s="10"/>
      <c r="O33" s="10"/>
      <c r="P33" s="10"/>
      <c r="Q33" s="10"/>
      <c r="R33" s="10"/>
    </row>
    <row r="34" spans="1:18" ht="27.6">
      <c r="A34" s="10"/>
      <c r="B34" s="10" t="s">
        <v>1750</v>
      </c>
      <c r="C34" s="10"/>
      <c r="D34" s="10" t="s">
        <v>4065</v>
      </c>
      <c r="E34" s="10"/>
      <c r="F34" s="10"/>
      <c r="G34" s="10"/>
      <c r="H34" s="10"/>
      <c r="I34" s="10"/>
      <c r="J34" s="10"/>
      <c r="K34" s="10"/>
      <c r="L34" s="10"/>
      <c r="M34" s="10"/>
      <c r="N34" s="10"/>
      <c r="O34" s="10"/>
      <c r="P34" s="10"/>
      <c r="Q34" s="10"/>
      <c r="R34" s="10"/>
    </row>
    <row r="35" spans="1:18" ht="27.6">
      <c r="A35" s="10"/>
      <c r="B35" s="10" t="s">
        <v>149</v>
      </c>
      <c r="C35" s="10"/>
      <c r="D35" s="10" t="s">
        <v>539</v>
      </c>
      <c r="E35" s="10"/>
      <c r="F35" s="10" t="s">
        <v>71</v>
      </c>
      <c r="G35" s="10"/>
      <c r="H35" s="10"/>
      <c r="I35" s="10"/>
      <c r="J35" s="10"/>
      <c r="K35" s="10"/>
      <c r="L35" s="10"/>
      <c r="M35" s="10"/>
      <c r="N35" s="10"/>
      <c r="O35" s="10" t="s">
        <v>665</v>
      </c>
      <c r="P35" s="10" t="s">
        <v>823</v>
      </c>
      <c r="Q35" s="10"/>
      <c r="R35" s="10">
        <v>18</v>
      </c>
    </row>
    <row r="36" spans="1:18" ht="27.6">
      <c r="A36" s="10"/>
      <c r="B36" s="10" t="s">
        <v>2445</v>
      </c>
      <c r="C36" s="10"/>
      <c r="D36" s="10" t="s">
        <v>4267</v>
      </c>
      <c r="E36" s="10"/>
      <c r="F36" s="10" t="s">
        <v>324</v>
      </c>
      <c r="G36" s="10"/>
      <c r="H36" s="10"/>
      <c r="I36" s="10"/>
      <c r="J36" s="10"/>
      <c r="K36" s="10"/>
      <c r="L36" s="10"/>
      <c r="M36" s="10"/>
      <c r="N36" s="10"/>
      <c r="O36" s="10" t="s">
        <v>618</v>
      </c>
      <c r="P36" s="10" t="s">
        <v>467</v>
      </c>
      <c r="Q36" s="10"/>
      <c r="R36" s="10">
        <v>19</v>
      </c>
    </row>
    <row r="37" spans="1:18" ht="27.6">
      <c r="A37" s="10"/>
      <c r="B37" s="10" t="s">
        <v>3832</v>
      </c>
      <c r="C37" s="10"/>
      <c r="D37" s="10" t="s">
        <v>3992</v>
      </c>
      <c r="E37" s="10"/>
      <c r="F37" s="10" t="s">
        <v>5707</v>
      </c>
      <c r="G37" s="10"/>
      <c r="H37" s="10"/>
      <c r="I37" s="10"/>
      <c r="J37" s="10"/>
      <c r="K37" s="10"/>
      <c r="L37" s="10"/>
      <c r="M37" s="10"/>
      <c r="N37" s="10"/>
      <c r="O37" s="10" t="s">
        <v>428</v>
      </c>
      <c r="P37" s="10" t="s">
        <v>416</v>
      </c>
      <c r="Q37" s="10"/>
      <c r="R37" s="10">
        <v>20</v>
      </c>
    </row>
    <row r="38" spans="1:18" ht="27.6">
      <c r="A38" s="10"/>
      <c r="B38" s="10" t="s">
        <v>3567</v>
      </c>
      <c r="C38" s="10"/>
      <c r="D38" s="10" t="s">
        <v>393</v>
      </c>
      <c r="E38" s="10"/>
      <c r="F38" s="10" t="s">
        <v>5708</v>
      </c>
      <c r="G38" s="10"/>
      <c r="H38" s="10"/>
      <c r="I38" s="10"/>
      <c r="J38" s="10"/>
      <c r="K38" s="10"/>
      <c r="L38" s="10"/>
      <c r="M38" s="10"/>
      <c r="N38" s="10"/>
      <c r="O38" s="10" t="s">
        <v>670</v>
      </c>
      <c r="P38" s="10" t="s">
        <v>258</v>
      </c>
      <c r="Q38" s="10"/>
      <c r="R38" s="10">
        <v>21</v>
      </c>
    </row>
    <row r="39" spans="1:18" ht="27.6">
      <c r="A39" s="10"/>
      <c r="B39" s="10" t="s">
        <v>1437</v>
      </c>
      <c r="C39" s="10"/>
      <c r="D39" s="10" t="s">
        <v>583</v>
      </c>
      <c r="E39" s="10"/>
      <c r="F39" s="10"/>
      <c r="G39" s="10"/>
      <c r="H39" s="10"/>
      <c r="I39" s="10"/>
      <c r="J39" s="10"/>
      <c r="K39" s="10"/>
      <c r="L39" s="10"/>
      <c r="M39" s="10"/>
      <c r="N39" s="10"/>
      <c r="O39" s="10"/>
      <c r="P39" s="10"/>
      <c r="Q39" s="10"/>
      <c r="R39" s="10"/>
    </row>
    <row r="40" spans="1:18" ht="27.6">
      <c r="A40" s="10"/>
      <c r="B40" s="10" t="s">
        <v>5236</v>
      </c>
      <c r="C40" s="10"/>
      <c r="D40" s="10"/>
      <c r="E40" s="10"/>
      <c r="F40" s="10"/>
      <c r="G40" s="10"/>
      <c r="H40" s="10"/>
      <c r="I40" s="10"/>
      <c r="J40" s="10"/>
      <c r="K40" s="10"/>
      <c r="L40" s="10"/>
      <c r="M40" s="10"/>
      <c r="N40" s="10"/>
      <c r="O40" s="10"/>
      <c r="P40" s="10"/>
      <c r="Q40" s="10"/>
      <c r="R40" s="10"/>
    </row>
    <row r="41" spans="1:18" ht="27.6">
      <c r="A41" s="10"/>
      <c r="B41" s="10" t="s">
        <v>5709</v>
      </c>
      <c r="C41" s="10"/>
      <c r="D41" s="10" t="s">
        <v>323</v>
      </c>
      <c r="E41" s="10"/>
      <c r="F41" s="10"/>
      <c r="G41" s="10"/>
      <c r="H41" s="10"/>
      <c r="I41" s="10"/>
      <c r="J41" s="10"/>
      <c r="K41" s="10"/>
      <c r="L41" s="10"/>
      <c r="M41" s="10"/>
      <c r="N41" s="10"/>
      <c r="O41" s="10" t="s">
        <v>5710</v>
      </c>
      <c r="P41" s="10" t="s">
        <v>370</v>
      </c>
      <c r="Q41" s="10"/>
      <c r="R41" s="10">
        <v>22</v>
      </c>
    </row>
    <row r="42" spans="1:18" ht="13.8">
      <c r="A42" s="10"/>
      <c r="B42" s="10"/>
      <c r="C42" s="10"/>
      <c r="D42" s="10" t="s">
        <v>4566</v>
      </c>
      <c r="E42" s="10"/>
      <c r="F42" s="10"/>
      <c r="G42" s="10"/>
      <c r="H42" s="10"/>
      <c r="I42" s="10"/>
      <c r="J42" s="10"/>
      <c r="K42" s="10"/>
      <c r="L42" s="10"/>
      <c r="M42" s="10"/>
      <c r="N42" s="10"/>
      <c r="O42" s="10" t="s">
        <v>73</v>
      </c>
      <c r="P42" s="10" t="s">
        <v>394</v>
      </c>
      <c r="Q42" s="10"/>
      <c r="R42" s="10">
        <v>23</v>
      </c>
    </row>
    <row r="43" spans="1:18" ht="27.6">
      <c r="A43" s="10"/>
      <c r="B43" s="10"/>
      <c r="C43" s="10"/>
      <c r="D43" s="10" t="s">
        <v>3834</v>
      </c>
      <c r="E43" s="10"/>
      <c r="F43" s="10"/>
      <c r="H43" s="10"/>
      <c r="I43" s="10"/>
      <c r="J43" s="10"/>
      <c r="K43" s="10"/>
      <c r="L43" s="10"/>
      <c r="M43" s="10"/>
      <c r="N43" s="10"/>
      <c r="P43" s="10" t="s">
        <v>396</v>
      </c>
      <c r="Q43" s="10"/>
      <c r="R43" s="10">
        <v>24</v>
      </c>
    </row>
    <row r="44" spans="1:18" ht="13.8">
      <c r="A44" s="10"/>
      <c r="B44" s="10"/>
      <c r="C44" s="10"/>
      <c r="D44" s="10" t="s">
        <v>3894</v>
      </c>
      <c r="E44" s="10"/>
      <c r="F44" s="10"/>
      <c r="H44" s="10"/>
      <c r="I44" s="10"/>
      <c r="J44" s="10"/>
      <c r="K44" s="10"/>
      <c r="L44" s="10"/>
      <c r="M44" s="10"/>
      <c r="N44" s="10"/>
      <c r="P44" s="10" t="s">
        <v>327</v>
      </c>
      <c r="Q44" s="10"/>
      <c r="R44" s="10">
        <v>25</v>
      </c>
    </row>
    <row r="45" spans="1:18" ht="27.6">
      <c r="A45" s="10"/>
      <c r="B45" s="10"/>
      <c r="C45" s="10"/>
      <c r="D45" s="10" t="s">
        <v>3386</v>
      </c>
      <c r="E45" s="10"/>
      <c r="F45" s="10"/>
      <c r="G45" s="10"/>
      <c r="H45" s="10"/>
      <c r="I45" s="10"/>
      <c r="J45" s="10"/>
      <c r="K45" s="10"/>
      <c r="L45" s="10"/>
      <c r="M45" s="10"/>
      <c r="N45" s="10"/>
      <c r="O45" s="10"/>
      <c r="P45" s="10"/>
      <c r="Q45" s="10"/>
      <c r="R45" s="10">
        <v>26</v>
      </c>
    </row>
    <row r="46" spans="1:18" ht="13.8">
      <c r="A46" s="10"/>
      <c r="B46" s="10"/>
      <c r="C46" s="10"/>
      <c r="D46" s="10" t="s">
        <v>69</v>
      </c>
      <c r="E46" s="10"/>
      <c r="F46" s="10"/>
      <c r="G46" s="10"/>
      <c r="H46" s="10"/>
      <c r="I46" s="10"/>
      <c r="J46" s="10"/>
      <c r="K46" s="10"/>
      <c r="L46" s="10"/>
      <c r="M46" s="10"/>
      <c r="N46" s="10"/>
      <c r="O46" s="10"/>
      <c r="P46" s="10" t="s">
        <v>257</v>
      </c>
      <c r="Q46" s="10"/>
      <c r="R46" s="10">
        <v>27</v>
      </c>
    </row>
    <row r="47" spans="1:18" ht="27.6">
      <c r="A47" s="10"/>
      <c r="B47" s="10"/>
      <c r="C47" s="10"/>
      <c r="D47" s="10" t="s">
        <v>5350</v>
      </c>
      <c r="E47" s="10"/>
      <c r="F47" s="10"/>
      <c r="G47" s="10"/>
      <c r="H47" s="10"/>
      <c r="I47" s="10"/>
      <c r="J47" s="10"/>
      <c r="K47" s="10"/>
      <c r="L47" s="10"/>
      <c r="M47" s="10"/>
      <c r="N47" s="10"/>
      <c r="O47" s="10"/>
      <c r="P47" s="10" t="s">
        <v>665</v>
      </c>
      <c r="Q47" s="10"/>
      <c r="R47" s="10">
        <v>28</v>
      </c>
    </row>
    <row r="48" spans="1:18" ht="27.6">
      <c r="A48" s="10"/>
      <c r="B48" s="10"/>
      <c r="C48" s="10"/>
      <c r="D48" s="10" t="s">
        <v>4933</v>
      </c>
      <c r="E48" s="10"/>
      <c r="F48" s="10"/>
      <c r="G48" s="10"/>
      <c r="H48" s="10"/>
      <c r="I48" s="10"/>
      <c r="J48" s="10"/>
      <c r="K48" s="10"/>
      <c r="L48" s="10"/>
      <c r="M48" s="10"/>
      <c r="N48" s="10"/>
      <c r="O48" s="10"/>
      <c r="P48" s="10" t="s">
        <v>924</v>
      </c>
      <c r="Q48" s="10"/>
      <c r="R48" s="10">
        <v>29</v>
      </c>
    </row>
    <row r="49" spans="1:18" ht="27.6">
      <c r="A49" s="10"/>
      <c r="C49" s="10"/>
      <c r="D49" s="10" t="s">
        <v>4008</v>
      </c>
      <c r="E49" s="10"/>
      <c r="F49" s="10"/>
      <c r="G49" s="10"/>
      <c r="H49" s="10"/>
      <c r="I49" s="10"/>
      <c r="J49" s="10"/>
      <c r="K49" s="10"/>
      <c r="L49" s="10"/>
      <c r="M49" s="10"/>
      <c r="N49" s="10"/>
      <c r="O49" s="10"/>
      <c r="P49" s="10" t="s">
        <v>1134</v>
      </c>
      <c r="Q49" s="10"/>
      <c r="R49" s="10">
        <v>30</v>
      </c>
    </row>
    <row r="50" spans="1:18" ht="13.8">
      <c r="A50" s="10"/>
      <c r="C50" s="10"/>
      <c r="D50" s="10" t="s">
        <v>5351</v>
      </c>
      <c r="E50" s="10"/>
      <c r="F50" s="10"/>
      <c r="G50" s="10"/>
      <c r="H50" s="10"/>
      <c r="I50" s="10"/>
      <c r="J50" s="10"/>
      <c r="K50" s="10"/>
      <c r="L50" s="10"/>
      <c r="M50" s="10"/>
      <c r="N50" s="10"/>
      <c r="O50" s="10"/>
      <c r="P50" s="10"/>
      <c r="Q50" s="10"/>
      <c r="R50" s="10"/>
    </row>
    <row r="51" spans="1:18" ht="13.8">
      <c r="A51" s="10"/>
      <c r="C51" s="10"/>
      <c r="D51" s="10" t="s">
        <v>3924</v>
      </c>
      <c r="E51" s="10"/>
      <c r="F51" s="10"/>
      <c r="G51" s="10"/>
      <c r="H51" s="10"/>
      <c r="I51" s="10"/>
      <c r="J51" s="10"/>
      <c r="K51" s="10"/>
      <c r="L51" s="10"/>
      <c r="M51" s="10"/>
      <c r="N51" s="10"/>
      <c r="O51" s="10"/>
      <c r="P51" s="10" t="s">
        <v>527</v>
      </c>
      <c r="Q51" s="10"/>
      <c r="R51" s="10">
        <v>31</v>
      </c>
    </row>
    <row r="52" spans="1:18" ht="27.6">
      <c r="A52" s="10"/>
      <c r="C52" s="10"/>
      <c r="D52" s="10" t="s">
        <v>4210</v>
      </c>
      <c r="E52" s="10"/>
      <c r="F52" s="10"/>
      <c r="G52" s="10"/>
      <c r="H52" s="10"/>
      <c r="I52" s="10"/>
      <c r="J52" s="10"/>
      <c r="K52" s="10"/>
      <c r="L52" s="10"/>
      <c r="M52" s="10"/>
      <c r="N52" s="10"/>
      <c r="O52" s="10"/>
      <c r="P52" s="10"/>
      <c r="Q52" s="10"/>
      <c r="R52" s="10">
        <v>32</v>
      </c>
    </row>
    <row r="53" spans="1:18" ht="27.6">
      <c r="A53" s="10"/>
      <c r="B53" s="10"/>
      <c r="C53" s="10"/>
      <c r="D53" s="10" t="s">
        <v>5352</v>
      </c>
      <c r="E53" s="10"/>
      <c r="F53" s="10"/>
      <c r="G53" s="10"/>
      <c r="H53" s="10"/>
      <c r="I53" s="10"/>
      <c r="J53" s="10"/>
      <c r="K53" s="10"/>
      <c r="L53" s="10"/>
      <c r="M53" s="10"/>
      <c r="N53" s="10"/>
      <c r="O53" s="10"/>
      <c r="P53" s="10" t="s">
        <v>528</v>
      </c>
      <c r="Q53" s="10"/>
      <c r="R53" s="10">
        <v>33</v>
      </c>
    </row>
    <row r="54" spans="1:18" ht="27.6">
      <c r="A54" s="10"/>
      <c r="B54" s="10"/>
      <c r="C54" s="10"/>
      <c r="D54" s="10" t="s">
        <v>4046</v>
      </c>
      <c r="E54" s="10"/>
      <c r="F54" s="10"/>
      <c r="G54" s="10"/>
      <c r="H54" s="10"/>
      <c r="I54" s="10"/>
      <c r="J54" s="10"/>
      <c r="K54" s="10"/>
      <c r="L54" s="10"/>
      <c r="M54" s="10"/>
      <c r="N54" s="10"/>
      <c r="O54" s="10"/>
      <c r="P54" s="10" t="s">
        <v>618</v>
      </c>
      <c r="Q54" s="10"/>
      <c r="R54" s="10">
        <v>34</v>
      </c>
    </row>
    <row r="55" spans="1:18" ht="27.6">
      <c r="A55" s="10"/>
      <c r="B55" s="10"/>
      <c r="C55" s="10"/>
      <c r="D55" s="10" t="s">
        <v>4052</v>
      </c>
      <c r="E55" s="10"/>
      <c r="F55" s="10"/>
      <c r="G55" s="10"/>
      <c r="H55" s="10"/>
      <c r="I55" s="10"/>
      <c r="J55" s="10"/>
      <c r="K55" s="10"/>
      <c r="L55" s="10"/>
      <c r="M55" s="10"/>
      <c r="N55" s="10"/>
      <c r="O55" s="10"/>
      <c r="P55" s="10" t="s">
        <v>428</v>
      </c>
      <c r="Q55" s="10"/>
      <c r="R55" s="10">
        <v>35</v>
      </c>
    </row>
    <row r="56" spans="1:18" ht="13.8">
      <c r="A56" s="10"/>
      <c r="B56" s="10"/>
      <c r="C56" s="10"/>
      <c r="D56" s="10" t="s">
        <v>145</v>
      </c>
      <c r="E56" s="10"/>
      <c r="F56" s="10"/>
      <c r="G56" s="10"/>
      <c r="H56" s="10"/>
      <c r="I56" s="10"/>
      <c r="J56" s="10"/>
      <c r="K56" s="10"/>
      <c r="L56" s="10"/>
      <c r="M56" s="10"/>
      <c r="N56" s="10"/>
      <c r="O56" s="10"/>
      <c r="P56" s="10"/>
      <c r="Q56" s="10"/>
      <c r="R56" s="10"/>
    </row>
    <row r="57" spans="1:18" ht="13.8">
      <c r="A57" s="10"/>
      <c r="B57" s="10"/>
      <c r="C57" s="10"/>
      <c r="D57" s="10" t="s">
        <v>4149</v>
      </c>
      <c r="E57" s="10"/>
      <c r="F57" s="10"/>
      <c r="G57" s="10"/>
      <c r="H57" s="10"/>
      <c r="I57" s="10"/>
      <c r="J57" s="10"/>
      <c r="K57" s="10"/>
      <c r="L57" s="10"/>
      <c r="M57" s="10"/>
      <c r="N57" s="10"/>
      <c r="O57" s="10"/>
      <c r="P57" s="10"/>
      <c r="Q57" s="10"/>
      <c r="R57" s="10"/>
    </row>
    <row r="58" spans="1:18" ht="27.6">
      <c r="A58" s="10"/>
      <c r="B58" s="10"/>
      <c r="C58" s="10"/>
      <c r="D58" s="10" t="s">
        <v>208</v>
      </c>
      <c r="E58" s="10"/>
      <c r="F58" s="10"/>
      <c r="G58" s="10"/>
      <c r="H58" s="10"/>
      <c r="I58" s="10"/>
      <c r="J58" s="10"/>
      <c r="K58" s="10"/>
      <c r="L58" s="10"/>
      <c r="M58" s="10"/>
      <c r="N58" s="10"/>
      <c r="O58" s="10"/>
      <c r="P58" s="10" t="s">
        <v>671</v>
      </c>
      <c r="Q58" s="10"/>
      <c r="R58" s="10">
        <v>36</v>
      </c>
    </row>
    <row r="59" spans="1:18" ht="13.8">
      <c r="A59" s="10"/>
      <c r="B59" s="10"/>
      <c r="C59" s="10"/>
      <c r="D59" s="10" t="s">
        <v>4041</v>
      </c>
      <c r="E59" s="10"/>
      <c r="F59" s="10"/>
      <c r="G59" s="10"/>
      <c r="H59" s="10"/>
      <c r="I59" s="10"/>
      <c r="J59" s="10"/>
      <c r="K59" s="10"/>
      <c r="L59" s="10"/>
      <c r="M59" s="10"/>
      <c r="N59" s="10"/>
      <c r="O59" s="10"/>
      <c r="P59" s="10" t="s">
        <v>73</v>
      </c>
      <c r="Q59" s="10"/>
      <c r="R59" s="10">
        <v>37</v>
      </c>
    </row>
    <row r="60" spans="1:18" ht="13.8">
      <c r="A60" s="10"/>
      <c r="B60" s="10"/>
      <c r="C60" s="10"/>
      <c r="D60" s="10" t="s">
        <v>4032</v>
      </c>
      <c r="E60" s="10"/>
      <c r="F60" s="10"/>
      <c r="G60" s="10"/>
      <c r="H60" s="10"/>
      <c r="I60" s="10"/>
      <c r="J60" s="10"/>
      <c r="K60" s="10"/>
      <c r="L60" s="10"/>
      <c r="M60" s="10"/>
      <c r="N60" s="10"/>
      <c r="O60" s="10"/>
      <c r="P60" s="10"/>
      <c r="Q60" s="10"/>
      <c r="R60" s="10">
        <v>38</v>
      </c>
    </row>
    <row r="61" spans="1:18" ht="27.6">
      <c r="A61" s="10"/>
      <c r="B61" s="10"/>
      <c r="C61" s="10"/>
      <c r="D61" s="10" t="s">
        <v>3983</v>
      </c>
      <c r="E61" s="10"/>
      <c r="F61" s="10"/>
      <c r="G61" s="10"/>
      <c r="H61" s="10"/>
      <c r="I61" s="10"/>
      <c r="J61" s="10"/>
      <c r="K61" s="10"/>
      <c r="L61" s="10"/>
      <c r="M61" s="10"/>
      <c r="N61" s="10"/>
      <c r="O61" s="10"/>
      <c r="P61" s="10"/>
      <c r="Q61" s="10"/>
      <c r="R61" s="10">
        <v>39</v>
      </c>
    </row>
    <row r="62" spans="1:18" ht="27.6">
      <c r="A62" s="10"/>
      <c r="B62" s="10"/>
      <c r="C62" s="10"/>
      <c r="D62" s="10" t="s">
        <v>4211</v>
      </c>
      <c r="E62" s="10"/>
      <c r="F62" s="10"/>
      <c r="G62" s="10"/>
      <c r="H62" s="10"/>
      <c r="I62" s="10"/>
      <c r="J62" s="10"/>
      <c r="K62" s="10"/>
      <c r="L62" s="10"/>
      <c r="M62" s="10"/>
      <c r="N62" s="10"/>
      <c r="O62" s="10"/>
      <c r="P62" s="10"/>
      <c r="Q62" s="10"/>
      <c r="R62" s="10"/>
    </row>
    <row r="63" spans="1:18" ht="27.6">
      <c r="A63" s="10"/>
      <c r="B63" s="10"/>
      <c r="C63" s="10"/>
      <c r="D63" s="10" t="s">
        <v>638</v>
      </c>
      <c r="E63" s="10"/>
      <c r="F63" s="10"/>
      <c r="G63" s="10"/>
      <c r="H63" s="10"/>
      <c r="I63" s="10"/>
      <c r="J63" s="10"/>
      <c r="K63" s="10"/>
      <c r="L63" s="10"/>
      <c r="M63" s="10"/>
      <c r="N63" s="10"/>
      <c r="O63" s="10"/>
      <c r="P63" s="10"/>
      <c r="Q63" s="10"/>
      <c r="R63" s="10"/>
    </row>
    <row r="64" spans="1:18" ht="27.6">
      <c r="A64" s="10"/>
      <c r="B64" s="10"/>
      <c r="C64" s="10"/>
      <c r="D64" s="10" t="s">
        <v>299</v>
      </c>
      <c r="E64" s="10"/>
      <c r="F64" s="10"/>
      <c r="G64" s="10"/>
      <c r="H64" s="10"/>
      <c r="I64" s="10"/>
      <c r="J64" s="10"/>
      <c r="K64" s="10"/>
      <c r="L64" s="10"/>
      <c r="M64" s="10"/>
      <c r="N64" s="10"/>
      <c r="O64" s="10"/>
      <c r="P64" s="10"/>
      <c r="Q64" s="10"/>
      <c r="R64" s="10"/>
    </row>
    <row r="65" spans="1:18" ht="27.6">
      <c r="A65" s="10"/>
      <c r="B65" s="10"/>
      <c r="C65" s="10"/>
      <c r="D65" s="10" t="s">
        <v>419</v>
      </c>
      <c r="E65" s="10"/>
      <c r="F65" s="10"/>
      <c r="G65" s="10"/>
      <c r="H65" s="10"/>
      <c r="I65" s="10"/>
      <c r="J65" s="10"/>
      <c r="K65" s="10"/>
      <c r="L65" s="10"/>
      <c r="M65" s="10"/>
      <c r="N65" s="10"/>
      <c r="O65" s="10"/>
      <c r="P65" s="10"/>
      <c r="Q65" s="10"/>
      <c r="R65" s="10">
        <v>40</v>
      </c>
    </row>
    <row r="66" spans="1:18" ht="27.6">
      <c r="A66" s="10"/>
      <c r="B66" s="10"/>
      <c r="C66" s="10"/>
      <c r="D66" s="10" t="s">
        <v>4619</v>
      </c>
      <c r="E66" s="10"/>
      <c r="F66" s="10"/>
      <c r="G66" s="10"/>
      <c r="H66" s="10"/>
      <c r="I66" s="10"/>
      <c r="J66" s="10"/>
      <c r="K66" s="10"/>
      <c r="L66" s="10"/>
      <c r="M66" s="10"/>
      <c r="N66" s="10"/>
      <c r="O66" s="10"/>
      <c r="P66" s="10"/>
      <c r="Q66" s="10"/>
      <c r="R66" s="10">
        <v>41</v>
      </c>
    </row>
    <row r="67" spans="1:18" ht="27.6">
      <c r="A67" s="10"/>
      <c r="B67" s="10"/>
      <c r="C67" s="10"/>
      <c r="D67" s="10" t="s">
        <v>609</v>
      </c>
      <c r="E67" s="10"/>
      <c r="F67" s="10"/>
      <c r="G67" s="10"/>
      <c r="H67" s="10"/>
      <c r="I67" s="10"/>
      <c r="J67" s="10"/>
      <c r="K67" s="10"/>
      <c r="L67" s="10"/>
      <c r="M67" s="10"/>
      <c r="N67" s="10"/>
      <c r="O67" s="10"/>
      <c r="P67" s="10"/>
      <c r="Q67" s="10"/>
      <c r="R67" s="10">
        <v>42</v>
      </c>
    </row>
    <row r="68" spans="1:18" ht="27.6">
      <c r="A68" s="10"/>
      <c r="B68" s="10"/>
      <c r="C68" s="10"/>
      <c r="D68" s="10" t="s">
        <v>5134</v>
      </c>
      <c r="E68" s="10"/>
      <c r="F68" s="10"/>
      <c r="G68" s="10"/>
      <c r="H68" s="10"/>
      <c r="I68" s="10"/>
      <c r="J68" s="10"/>
      <c r="K68" s="10"/>
      <c r="L68" s="10"/>
      <c r="M68" s="10"/>
      <c r="N68" s="10"/>
      <c r="O68" s="10"/>
      <c r="P68" s="10"/>
      <c r="Q68" s="10"/>
      <c r="R68" s="10">
        <v>43</v>
      </c>
    </row>
    <row r="69" spans="1:18" ht="27.6">
      <c r="A69" s="10"/>
      <c r="B69" s="10"/>
      <c r="C69" s="10"/>
      <c r="D69" s="10" t="s">
        <v>3933</v>
      </c>
      <c r="E69" s="10"/>
      <c r="F69" s="10"/>
      <c r="G69" s="10"/>
      <c r="H69" s="10"/>
      <c r="I69" s="10"/>
      <c r="J69" s="10"/>
      <c r="K69" s="10"/>
      <c r="L69" s="10"/>
      <c r="M69" s="10"/>
      <c r="N69" s="10"/>
      <c r="O69" s="10"/>
      <c r="P69" s="10"/>
      <c r="Q69" s="10"/>
      <c r="R69" s="10">
        <v>44</v>
      </c>
    </row>
    <row r="70" spans="1:18" ht="13.8">
      <c r="A70" s="10"/>
      <c r="B70" s="10"/>
      <c r="C70" s="10"/>
      <c r="D70" s="10" t="s">
        <v>317</v>
      </c>
      <c r="E70" s="10"/>
      <c r="F70" s="10"/>
      <c r="G70" s="10"/>
      <c r="H70" s="10"/>
      <c r="I70" s="10"/>
      <c r="J70" s="10"/>
      <c r="K70" s="10"/>
      <c r="L70" s="10"/>
      <c r="M70" s="10"/>
      <c r="N70" s="10"/>
      <c r="O70" s="10"/>
      <c r="P70" s="10"/>
      <c r="Q70" s="10"/>
      <c r="R70" s="10">
        <v>45</v>
      </c>
    </row>
    <row r="71" spans="1:18" ht="27.6">
      <c r="A71" s="10"/>
      <c r="B71" s="10"/>
      <c r="C71" s="10"/>
      <c r="D71" s="10" t="s">
        <v>5133</v>
      </c>
      <c r="E71" s="10"/>
      <c r="F71" s="10"/>
      <c r="G71" s="10"/>
      <c r="H71" s="10"/>
      <c r="I71" s="10"/>
      <c r="J71" s="10"/>
      <c r="K71" s="10"/>
      <c r="L71" s="10"/>
      <c r="M71" s="10"/>
      <c r="N71" s="10"/>
      <c r="O71" s="10"/>
      <c r="P71" s="10"/>
      <c r="Q71" s="10"/>
      <c r="R71" s="10">
        <v>46</v>
      </c>
    </row>
    <row r="72" spans="1:18" ht="27.6">
      <c r="A72" s="10"/>
      <c r="B72" s="10"/>
      <c r="C72" s="10"/>
      <c r="D72" s="10" t="s">
        <v>5367</v>
      </c>
      <c r="E72" s="10"/>
      <c r="F72" s="10"/>
      <c r="G72" s="10"/>
      <c r="H72" s="10"/>
      <c r="I72" s="10"/>
      <c r="J72" s="10"/>
      <c r="K72" s="10"/>
      <c r="L72" s="10"/>
      <c r="M72" s="10"/>
      <c r="N72" s="10"/>
      <c r="O72" s="10"/>
      <c r="P72" s="10"/>
      <c r="Q72" s="10"/>
      <c r="R72" s="10">
        <v>47</v>
      </c>
    </row>
    <row r="73" spans="1:18" ht="27.6">
      <c r="A73" s="10"/>
      <c r="B73" s="10"/>
      <c r="C73" s="10"/>
      <c r="D73" s="10" t="s">
        <v>194</v>
      </c>
      <c r="E73" s="10"/>
      <c r="F73" s="10"/>
      <c r="G73" s="10"/>
      <c r="H73" s="10"/>
      <c r="I73" s="10"/>
      <c r="J73" s="10"/>
      <c r="K73" s="10"/>
      <c r="L73" s="10"/>
      <c r="M73" s="10"/>
      <c r="N73" s="10"/>
      <c r="O73" s="10"/>
      <c r="P73" s="10"/>
      <c r="Q73" s="10"/>
      <c r="R73" s="10">
        <v>48</v>
      </c>
    </row>
    <row r="74" spans="1:18" ht="27.6">
      <c r="A74" s="10"/>
      <c r="B74" s="10"/>
      <c r="C74" s="10"/>
      <c r="D74" s="10" t="s">
        <v>3976</v>
      </c>
      <c r="E74" s="10"/>
      <c r="F74" s="10"/>
      <c r="G74" s="10"/>
      <c r="H74" s="10"/>
      <c r="I74" s="10"/>
      <c r="J74" s="10"/>
      <c r="K74" s="10"/>
      <c r="L74" s="10"/>
      <c r="M74" s="10"/>
      <c r="N74" s="10"/>
      <c r="O74" s="10"/>
      <c r="P74" s="10"/>
      <c r="Q74" s="10"/>
      <c r="R74" s="10">
        <v>49</v>
      </c>
    </row>
    <row r="75" spans="1:18" ht="27.6">
      <c r="A75" s="10"/>
      <c r="B75" s="21"/>
      <c r="C75" s="10"/>
      <c r="D75" s="10" t="s">
        <v>4023</v>
      </c>
      <c r="E75" s="10"/>
      <c r="F75" s="10"/>
      <c r="G75" s="10"/>
      <c r="H75" s="10"/>
      <c r="I75" s="10"/>
      <c r="J75" s="10"/>
      <c r="K75" s="10"/>
      <c r="L75" s="10"/>
      <c r="M75" s="10"/>
      <c r="N75" s="10"/>
      <c r="O75" s="10"/>
      <c r="P75" s="10"/>
      <c r="Q75" s="10"/>
      <c r="R75" s="10"/>
    </row>
    <row r="76" spans="1:18" ht="27.6">
      <c r="A76" s="10"/>
      <c r="B76" s="21"/>
      <c r="C76" s="10"/>
      <c r="D76" s="10" t="s">
        <v>4176</v>
      </c>
      <c r="E76" s="10"/>
      <c r="F76" s="10"/>
      <c r="G76" s="10"/>
      <c r="H76" s="10"/>
      <c r="I76" s="10"/>
      <c r="J76" s="10"/>
      <c r="K76" s="10"/>
      <c r="L76" s="10"/>
      <c r="M76" s="10"/>
      <c r="N76" s="10"/>
      <c r="O76" s="10"/>
      <c r="P76" s="10"/>
      <c r="Q76" s="10"/>
      <c r="R76" s="10">
        <v>50</v>
      </c>
    </row>
    <row r="77" spans="1:18" ht="13.8">
      <c r="A77" s="10"/>
      <c r="B77" s="21"/>
      <c r="C77" s="10"/>
      <c r="D77" s="10" t="s">
        <v>4491</v>
      </c>
      <c r="E77" s="10"/>
      <c r="F77" s="10"/>
      <c r="G77" s="10"/>
      <c r="H77" s="10"/>
      <c r="I77" s="10"/>
      <c r="J77" s="10"/>
      <c r="K77" s="10"/>
      <c r="L77" s="10"/>
      <c r="M77" s="10"/>
      <c r="N77" s="10"/>
      <c r="O77" s="10"/>
      <c r="P77" s="10"/>
      <c r="Q77" s="10"/>
      <c r="R77" s="10">
        <v>51</v>
      </c>
    </row>
    <row r="78" spans="1:18" ht="27.6">
      <c r="A78" s="10"/>
      <c r="B78" s="21"/>
      <c r="C78" s="10"/>
      <c r="D78" s="10" t="s">
        <v>66</v>
      </c>
      <c r="E78" s="10"/>
      <c r="F78" s="10"/>
      <c r="G78" s="10"/>
      <c r="H78" s="10"/>
      <c r="I78" s="10"/>
      <c r="J78" s="10"/>
      <c r="K78" s="10"/>
      <c r="L78" s="10"/>
      <c r="M78" s="10"/>
      <c r="N78" s="10"/>
      <c r="O78" s="10"/>
      <c r="P78" s="10"/>
      <c r="Q78" s="10"/>
      <c r="R78" s="10">
        <v>52</v>
      </c>
    </row>
    <row r="79" spans="1:18" ht="13.8">
      <c r="A79" s="10"/>
      <c r="B79" s="21"/>
      <c r="C79" s="10"/>
      <c r="D79" s="10" t="s">
        <v>67</v>
      </c>
      <c r="E79" s="10"/>
      <c r="F79" s="10"/>
      <c r="G79" s="10"/>
      <c r="H79" s="10"/>
      <c r="I79" s="10"/>
      <c r="J79" s="10"/>
      <c r="K79" s="10"/>
      <c r="L79" s="10"/>
      <c r="M79" s="10"/>
      <c r="N79" s="10"/>
      <c r="O79" s="10"/>
      <c r="P79" s="10"/>
      <c r="Q79" s="10"/>
      <c r="R79" s="10"/>
    </row>
    <row r="80" spans="1:18" ht="13.8">
      <c r="A80" s="10"/>
      <c r="B80" s="21"/>
      <c r="C80" s="10"/>
      <c r="D80" s="10" t="s">
        <v>4627</v>
      </c>
      <c r="E80" s="10"/>
      <c r="F80" s="10"/>
      <c r="G80" s="10"/>
      <c r="H80" s="10"/>
      <c r="I80" s="10"/>
      <c r="J80" s="10"/>
      <c r="K80" s="10"/>
      <c r="L80" s="10"/>
      <c r="M80" s="10"/>
      <c r="N80" s="10"/>
      <c r="O80" s="10"/>
      <c r="P80" s="10"/>
      <c r="Q80" s="10"/>
      <c r="R80" s="10">
        <v>53</v>
      </c>
    </row>
    <row r="81" spans="1:18" ht="13.8">
      <c r="A81" s="10"/>
      <c r="B81" s="21"/>
      <c r="C81" s="10"/>
      <c r="D81" s="10" t="s">
        <v>5349</v>
      </c>
      <c r="E81" s="10"/>
      <c r="F81" s="10"/>
      <c r="G81" s="10"/>
      <c r="H81" s="10"/>
      <c r="I81" s="10"/>
      <c r="J81" s="10"/>
      <c r="K81" s="10"/>
      <c r="L81" s="10"/>
      <c r="M81" s="10"/>
      <c r="N81" s="10"/>
      <c r="O81" s="10"/>
      <c r="P81" s="10"/>
      <c r="Q81" s="10"/>
      <c r="R81" s="10">
        <v>54</v>
      </c>
    </row>
    <row r="82" spans="1:18" ht="13.8">
      <c r="A82" s="10"/>
      <c r="B82" s="21"/>
      <c r="C82" s="10"/>
      <c r="D82" s="10"/>
      <c r="E82" s="10"/>
      <c r="F82" s="10"/>
      <c r="G82" s="10"/>
      <c r="H82" s="10"/>
      <c r="I82" s="10"/>
      <c r="J82" s="10"/>
      <c r="K82" s="10"/>
      <c r="L82" s="10"/>
      <c r="M82" s="10"/>
      <c r="N82" s="10"/>
      <c r="O82" s="10"/>
      <c r="P82" s="10"/>
      <c r="Q82" s="10"/>
      <c r="R82" s="10">
        <v>55</v>
      </c>
    </row>
    <row r="83" spans="1:18" ht="13.8">
      <c r="D83" s="10" t="s">
        <v>90</v>
      </c>
      <c r="E83" s="10"/>
      <c r="G83" s="10"/>
      <c r="H83" s="10"/>
      <c r="I83" s="10"/>
      <c r="J83" s="10"/>
      <c r="K83" s="10"/>
      <c r="L83" s="10"/>
      <c r="M83" s="10"/>
      <c r="N83" s="10"/>
      <c r="O83" s="10"/>
      <c r="P83" s="10"/>
      <c r="Q83" s="10"/>
      <c r="R83" s="10">
        <v>56</v>
      </c>
    </row>
    <row r="84" spans="1:18" ht="13.8">
      <c r="D84" s="10"/>
      <c r="E84" s="10"/>
      <c r="G84" s="10"/>
      <c r="H84" s="10"/>
      <c r="I84" s="10"/>
      <c r="J84" s="10"/>
      <c r="K84" s="10"/>
      <c r="L84" s="10"/>
      <c r="M84" s="10"/>
      <c r="N84" s="10"/>
      <c r="O84" s="10"/>
      <c r="P84" s="10"/>
      <c r="Q84" s="10"/>
      <c r="R84" s="10">
        <v>57</v>
      </c>
    </row>
    <row r="85" spans="1:18" ht="13.8">
      <c r="D85" s="10"/>
      <c r="E85" s="10"/>
      <c r="G85" s="10"/>
      <c r="H85" s="10"/>
      <c r="I85" s="10"/>
      <c r="J85" s="10"/>
      <c r="K85" s="10"/>
      <c r="L85" s="10"/>
      <c r="M85" s="10"/>
      <c r="N85" s="10"/>
      <c r="O85" s="10"/>
      <c r="P85" s="10"/>
      <c r="Q85" s="10"/>
      <c r="R85" s="10">
        <v>58</v>
      </c>
    </row>
    <row r="86" spans="1:18" ht="13.8">
      <c r="D86" s="10"/>
      <c r="E86" s="10"/>
      <c r="G86" s="10"/>
      <c r="H86" s="10"/>
      <c r="I86" s="10"/>
      <c r="J86" s="10"/>
      <c r="K86" s="10"/>
      <c r="L86" s="10"/>
      <c r="M86" s="10"/>
      <c r="N86" s="10"/>
      <c r="O86" s="10"/>
      <c r="P86" s="10"/>
      <c r="Q86" s="10"/>
      <c r="R86" s="10">
        <v>59</v>
      </c>
    </row>
    <row r="87" spans="1:18" ht="13.8">
      <c r="D87" s="10"/>
      <c r="E87" s="10"/>
      <c r="G87" s="10"/>
      <c r="H87" s="10"/>
      <c r="I87" s="10"/>
      <c r="J87" s="10"/>
      <c r="K87" s="10"/>
      <c r="L87" s="10"/>
      <c r="M87" s="10"/>
      <c r="N87" s="10"/>
      <c r="O87" s="10"/>
      <c r="P87" s="10"/>
      <c r="Q87" s="10"/>
      <c r="R87" s="10">
        <v>60</v>
      </c>
    </row>
    <row r="88" spans="1:18" ht="13.8">
      <c r="D88" s="10"/>
      <c r="E88" s="10"/>
      <c r="G88" s="10"/>
      <c r="H88" s="10"/>
      <c r="I88" s="10"/>
      <c r="J88" s="10"/>
      <c r="K88" s="10"/>
      <c r="L88" s="10"/>
      <c r="M88" s="10"/>
      <c r="N88" s="10"/>
      <c r="O88" s="10"/>
      <c r="P88" s="10"/>
      <c r="Q88" s="10"/>
      <c r="R88" s="10">
        <v>61</v>
      </c>
    </row>
    <row r="89" spans="1:18" ht="13.8">
      <c r="D89" s="10"/>
      <c r="E89" s="10"/>
      <c r="G89" s="10"/>
      <c r="H89" s="10"/>
      <c r="I89" s="10"/>
      <c r="J89" s="10"/>
      <c r="K89" s="10"/>
      <c r="L89" s="10"/>
      <c r="M89" s="10"/>
      <c r="N89" s="10"/>
      <c r="O89" s="10"/>
      <c r="P89" s="10"/>
      <c r="Q89" s="10"/>
      <c r="R89" s="10">
        <v>62</v>
      </c>
    </row>
    <row r="90" spans="1:18" ht="13.8">
      <c r="D90" s="10"/>
      <c r="E90" s="10"/>
      <c r="G90" s="10"/>
      <c r="H90" s="10"/>
      <c r="I90" s="10"/>
      <c r="J90" s="10"/>
      <c r="K90" s="10"/>
      <c r="L90" s="10"/>
      <c r="M90" s="10"/>
      <c r="N90" s="10"/>
      <c r="O90" s="10"/>
      <c r="P90" s="10"/>
      <c r="Q90" s="10"/>
      <c r="R90" s="10">
        <v>63</v>
      </c>
    </row>
    <row r="91" spans="1:18" ht="13.8">
      <c r="D91" s="10"/>
      <c r="E91" s="10"/>
      <c r="G91" s="10"/>
      <c r="H91" s="10"/>
      <c r="I91" s="10"/>
      <c r="J91" s="10"/>
      <c r="K91" s="10"/>
      <c r="L91" s="10"/>
      <c r="M91" s="10"/>
      <c r="N91" s="10"/>
      <c r="O91" s="10"/>
      <c r="P91" s="10"/>
      <c r="Q91" s="10"/>
      <c r="R91" s="10">
        <v>64</v>
      </c>
    </row>
    <row r="92" spans="1:18" ht="13.8">
      <c r="D92" s="10"/>
      <c r="E92" s="10"/>
      <c r="G92" s="10"/>
      <c r="H92" s="10"/>
      <c r="I92" s="10"/>
      <c r="J92" s="10"/>
      <c r="K92" s="10"/>
      <c r="L92" s="10"/>
      <c r="M92" s="10"/>
      <c r="N92" s="10"/>
      <c r="O92" s="10"/>
      <c r="P92" s="10"/>
      <c r="Q92" s="10"/>
      <c r="R92" s="10">
        <v>65</v>
      </c>
    </row>
    <row r="93" spans="1:18" ht="13.8">
      <c r="D93" s="10"/>
      <c r="E93" s="10"/>
      <c r="G93" s="10"/>
      <c r="H93" s="10"/>
      <c r="I93" s="10"/>
      <c r="J93" s="10"/>
      <c r="K93" s="10"/>
      <c r="L93" s="10"/>
      <c r="M93" s="10"/>
      <c r="N93" s="10"/>
      <c r="O93" s="10"/>
      <c r="P93" s="10"/>
      <c r="Q93" s="10"/>
      <c r="R93" s="10"/>
    </row>
    <row r="94" spans="1:18" ht="13.8">
      <c r="D94" s="10"/>
      <c r="E94" s="10"/>
      <c r="G94" s="10"/>
      <c r="H94" s="10"/>
      <c r="I94" s="10"/>
      <c r="J94" s="10"/>
      <c r="K94" s="10"/>
      <c r="L94" s="10"/>
      <c r="M94" s="10"/>
      <c r="N94" s="10"/>
      <c r="O94" s="10"/>
      <c r="P94" s="10"/>
      <c r="Q94" s="10"/>
      <c r="R94" s="10">
        <v>66</v>
      </c>
    </row>
    <row r="95" spans="1:18" ht="13.8">
      <c r="E95" s="10"/>
      <c r="G95" s="10"/>
      <c r="H95" s="10"/>
      <c r="I95" s="10"/>
      <c r="J95" s="10"/>
      <c r="K95" s="10"/>
      <c r="L95" s="10"/>
      <c r="M95" s="10"/>
      <c r="N95" s="10"/>
      <c r="O95" s="10"/>
      <c r="P95" s="10"/>
      <c r="Q95" s="10"/>
      <c r="R95" s="10">
        <v>67</v>
      </c>
    </row>
    <row r="96" spans="1:18" ht="13.8">
      <c r="D96" s="10"/>
      <c r="E96" s="10"/>
      <c r="G96" s="10"/>
      <c r="H96" s="10"/>
      <c r="I96" s="10"/>
      <c r="J96" s="10"/>
      <c r="K96" s="10"/>
      <c r="L96" s="10"/>
      <c r="M96" s="10"/>
      <c r="N96" s="10"/>
      <c r="O96" s="10"/>
      <c r="P96" s="10"/>
      <c r="Q96" s="10"/>
      <c r="R96" s="10">
        <v>68</v>
      </c>
    </row>
    <row r="97" spans="4:18" ht="13.8">
      <c r="D97" s="10"/>
      <c r="E97" s="10"/>
      <c r="G97" s="10"/>
      <c r="H97" s="10"/>
      <c r="I97" s="10"/>
      <c r="J97" s="10"/>
      <c r="K97" s="10"/>
      <c r="L97" s="10"/>
      <c r="M97" s="10"/>
      <c r="N97" s="10"/>
      <c r="O97" s="10"/>
      <c r="P97" s="10"/>
      <c r="Q97" s="10"/>
      <c r="R97" s="10">
        <v>69</v>
      </c>
    </row>
    <row r="98" spans="4:18" ht="13.8">
      <c r="D98" s="10"/>
      <c r="E98" s="10"/>
      <c r="G98" s="10"/>
      <c r="H98" s="10"/>
      <c r="I98" s="10"/>
      <c r="J98" s="10"/>
      <c r="K98" s="10"/>
      <c r="L98" s="10"/>
      <c r="M98" s="10"/>
      <c r="N98" s="10"/>
      <c r="O98" s="10"/>
      <c r="P98" s="10"/>
      <c r="Q98" s="10"/>
      <c r="R98" s="10">
        <v>70</v>
      </c>
    </row>
    <row r="99" spans="4:18" ht="13.8">
      <c r="R99" s="10">
        <v>71</v>
      </c>
    </row>
    <row r="100" spans="4:18" ht="13.8">
      <c r="R100" s="10">
        <v>72</v>
      </c>
    </row>
    <row r="101" spans="4:18" ht="13.8">
      <c r="R101" s="10">
        <v>73</v>
      </c>
    </row>
    <row r="102" spans="4:18" ht="13.8">
      <c r="R102" s="10">
        <v>74</v>
      </c>
    </row>
    <row r="103" spans="4:18" ht="13.8">
      <c r="R103" s="10">
        <v>75</v>
      </c>
    </row>
    <row r="104" spans="4:18" ht="13.8">
      <c r="R104" s="10">
        <v>76</v>
      </c>
    </row>
    <row r="105" spans="4:18" ht="13.8">
      <c r="R105" s="10">
        <v>77</v>
      </c>
    </row>
    <row r="106" spans="4:18" ht="13.8">
      <c r="R106" s="10">
        <v>78</v>
      </c>
    </row>
    <row r="107" spans="4:18" ht="13.8">
      <c r="R107" s="10">
        <v>79</v>
      </c>
    </row>
    <row r="108" spans="4:18" ht="13.8">
      <c r="R108" s="10">
        <v>80</v>
      </c>
    </row>
    <row r="109" spans="4:18" ht="13.8">
      <c r="R109" s="10">
        <v>81</v>
      </c>
    </row>
    <row r="110" spans="4:18" ht="13.8">
      <c r="R110" s="10">
        <v>82</v>
      </c>
    </row>
    <row r="111" spans="4:18" ht="13.8">
      <c r="R111" s="10">
        <v>83</v>
      </c>
    </row>
    <row r="112" spans="4:18" ht="13.8">
      <c r="R112" s="10">
        <v>84</v>
      </c>
    </row>
    <row r="113" spans="18:18" ht="13.8">
      <c r="R113" s="10">
        <v>85</v>
      </c>
    </row>
    <row r="114" spans="18:18" ht="13.8">
      <c r="R114" s="10">
        <v>86</v>
      </c>
    </row>
    <row r="115" spans="18:18" ht="13.8">
      <c r="R115" s="10">
        <v>87</v>
      </c>
    </row>
    <row r="116" spans="18:18" ht="13.8">
      <c r="R116" s="10">
        <v>88</v>
      </c>
    </row>
    <row r="117" spans="18:18" ht="13.8">
      <c r="R117" s="10">
        <v>89</v>
      </c>
    </row>
    <row r="118" spans="18:18" ht="13.8">
      <c r="R118" s="10">
        <v>90</v>
      </c>
    </row>
    <row r="119" spans="18:18" ht="13.8">
      <c r="R119" s="10">
        <v>91</v>
      </c>
    </row>
    <row r="120" spans="18:18" ht="13.8">
      <c r="R120" s="10">
        <v>92</v>
      </c>
    </row>
    <row r="121" spans="18:18" ht="13.8">
      <c r="R121" s="10">
        <v>93</v>
      </c>
    </row>
    <row r="122" spans="18:18" ht="13.8">
      <c r="R122" s="10">
        <v>94</v>
      </c>
    </row>
    <row r="123" spans="18:18" ht="13.8">
      <c r="R123" s="10">
        <v>95</v>
      </c>
    </row>
    <row r="124" spans="18:18" ht="13.8">
      <c r="R124" s="10">
        <v>96</v>
      </c>
    </row>
    <row r="125" spans="18:18" ht="13.8">
      <c r="R125" s="10">
        <v>97</v>
      </c>
    </row>
    <row r="126" spans="18:18" ht="13.8">
      <c r="R126" s="10">
        <v>98</v>
      </c>
    </row>
    <row r="127" spans="18:18" ht="13.8">
      <c r="R127" s="10">
        <v>99</v>
      </c>
    </row>
    <row r="128" spans="18:18" ht="13.8">
      <c r="R128" s="10">
        <v>100</v>
      </c>
    </row>
    <row r="129" spans="18:18" ht="13.8">
      <c r="R129" s="10">
        <v>101</v>
      </c>
    </row>
    <row r="130" spans="18:18" ht="13.8">
      <c r="R130" s="10">
        <v>102</v>
      </c>
    </row>
    <row r="131" spans="18:18" ht="13.8">
      <c r="R131" s="10">
        <v>103</v>
      </c>
    </row>
    <row r="132" spans="18:18" ht="13.8">
      <c r="R132" s="10">
        <v>104</v>
      </c>
    </row>
    <row r="133" spans="18:18" ht="13.8">
      <c r="R133" s="10">
        <v>105</v>
      </c>
    </row>
    <row r="134" spans="18:18" ht="13.8">
      <c r="R134" s="10">
        <v>106</v>
      </c>
    </row>
    <row r="135" spans="18:18" ht="13.8">
      <c r="R135" s="10">
        <v>107</v>
      </c>
    </row>
    <row r="136" spans="18:18" ht="13.8">
      <c r="R136" s="10">
        <v>108</v>
      </c>
    </row>
    <row r="137" spans="18:18" ht="13.8">
      <c r="R137" s="10">
        <v>109</v>
      </c>
    </row>
    <row r="138" spans="18:18" ht="13.8">
      <c r="R138" s="10">
        <v>110</v>
      </c>
    </row>
    <row r="139" spans="18:18" ht="13.8">
      <c r="R139" s="10">
        <v>111</v>
      </c>
    </row>
    <row r="140" spans="18:18" ht="13.8">
      <c r="R140" s="10">
        <v>112</v>
      </c>
    </row>
    <row r="141" spans="18:18" ht="13.8">
      <c r="R141" s="10">
        <v>113</v>
      </c>
    </row>
    <row r="142" spans="18:18" ht="13.8">
      <c r="R142" s="10">
        <v>114</v>
      </c>
    </row>
    <row r="143" spans="18:18" ht="13.8">
      <c r="R143" s="10">
        <v>115</v>
      </c>
    </row>
    <row r="144" spans="18:18" ht="13.8">
      <c r="R144" s="10">
        <v>116</v>
      </c>
    </row>
    <row r="145" spans="18:18" ht="13.8">
      <c r="R145" s="10">
        <v>117</v>
      </c>
    </row>
    <row r="146" spans="18:18" ht="13.8">
      <c r="R146" s="10">
        <v>118</v>
      </c>
    </row>
    <row r="147" spans="18:18" ht="13.8">
      <c r="R147" s="10">
        <v>119</v>
      </c>
    </row>
    <row r="148" spans="18:18" ht="13.8">
      <c r="R148" s="10">
        <v>120</v>
      </c>
    </row>
    <row r="149" spans="18:18" ht="13.8">
      <c r="R149" s="10">
        <v>121</v>
      </c>
    </row>
    <row r="150" spans="18:18" ht="13.8">
      <c r="R150" s="10">
        <v>122</v>
      </c>
    </row>
    <row r="151" spans="18:18" ht="13.8">
      <c r="R151" s="10">
        <v>123</v>
      </c>
    </row>
    <row r="152" spans="18:18" ht="13.8">
      <c r="R152" s="10">
        <v>124</v>
      </c>
    </row>
    <row r="153" spans="18:18" ht="13.8">
      <c r="R153" s="10">
        <v>125</v>
      </c>
    </row>
    <row r="154" spans="18:18" ht="13.8">
      <c r="R154" s="10">
        <v>126</v>
      </c>
    </row>
    <row r="155" spans="18:18" ht="13.8">
      <c r="R155" s="10">
        <v>127</v>
      </c>
    </row>
    <row r="156" spans="18:18" ht="13.8">
      <c r="R156" s="10">
        <v>128</v>
      </c>
    </row>
    <row r="157" spans="18:18" ht="13.8">
      <c r="R157" s="10">
        <v>129</v>
      </c>
    </row>
    <row r="158" spans="18:18" ht="13.8">
      <c r="R158" s="10">
        <v>130</v>
      </c>
    </row>
    <row r="159" spans="18:18" ht="13.8">
      <c r="R159" s="10">
        <v>131</v>
      </c>
    </row>
    <row r="160" spans="18:18" ht="13.8">
      <c r="R160" s="10">
        <v>132</v>
      </c>
    </row>
    <row r="161" spans="18:18" ht="13.8">
      <c r="R161" s="10">
        <v>133</v>
      </c>
    </row>
    <row r="162" spans="18:18" ht="13.8">
      <c r="R162" s="10">
        <v>134</v>
      </c>
    </row>
    <row r="163" spans="18:18" ht="13.8">
      <c r="R163" s="10">
        <v>135</v>
      </c>
    </row>
    <row r="164" spans="18:18" ht="13.8">
      <c r="R164" s="10">
        <v>136</v>
      </c>
    </row>
    <row r="165" spans="18:18" ht="13.8">
      <c r="R165" s="10">
        <v>137</v>
      </c>
    </row>
    <row r="166" spans="18:18" ht="13.8">
      <c r="R166" s="10">
        <v>138</v>
      </c>
    </row>
    <row r="167" spans="18:18" ht="13.8">
      <c r="R167" s="10">
        <v>139</v>
      </c>
    </row>
    <row r="168" spans="18:18" ht="13.8">
      <c r="R168" s="10">
        <v>140</v>
      </c>
    </row>
    <row r="169" spans="18:18" ht="13.8">
      <c r="R169" s="10">
        <v>141</v>
      </c>
    </row>
    <row r="170" spans="18:18" ht="13.8">
      <c r="R170" s="10">
        <v>142</v>
      </c>
    </row>
    <row r="171" spans="18:18" ht="13.8">
      <c r="R171" s="10">
        <v>143</v>
      </c>
    </row>
    <row r="172" spans="18:18" ht="13.8">
      <c r="R172" s="10">
        <v>144</v>
      </c>
    </row>
    <row r="173" spans="18:18" ht="13.8">
      <c r="R173" s="10">
        <v>145</v>
      </c>
    </row>
    <row r="174" spans="18:18" ht="13.8">
      <c r="R174" s="10">
        <v>146</v>
      </c>
    </row>
    <row r="175" spans="18:18" ht="13.8">
      <c r="R175" s="10">
        <v>147</v>
      </c>
    </row>
    <row r="176" spans="18:18" ht="13.8">
      <c r="R176" s="10">
        <v>148</v>
      </c>
    </row>
    <row r="177" spans="18:18" ht="13.8">
      <c r="R177" s="10">
        <v>149</v>
      </c>
    </row>
    <row r="178" spans="18:18" ht="13.8">
      <c r="R178" s="10">
        <v>150</v>
      </c>
    </row>
    <row r="179" spans="18:18" ht="13.8">
      <c r="R179" s="10">
        <v>151</v>
      </c>
    </row>
    <row r="180" spans="18:18" ht="13.8">
      <c r="R180" s="10">
        <v>152</v>
      </c>
    </row>
    <row r="181" spans="18:18" ht="13.8">
      <c r="R181" s="10">
        <v>153</v>
      </c>
    </row>
    <row r="182" spans="18:18" ht="13.8">
      <c r="R182" s="10">
        <v>154</v>
      </c>
    </row>
    <row r="183" spans="18:18" ht="13.8">
      <c r="R183" s="10">
        <v>155</v>
      </c>
    </row>
    <row r="184" spans="18:18" ht="13.8">
      <c r="R184" s="10">
        <v>156</v>
      </c>
    </row>
    <row r="185" spans="18:18" ht="13.8">
      <c r="R185" s="10">
        <v>157</v>
      </c>
    </row>
    <row r="186" spans="18:18" ht="13.8">
      <c r="R186" s="10">
        <v>158</v>
      </c>
    </row>
    <row r="187" spans="18:18" ht="13.8">
      <c r="R187" s="10">
        <v>159</v>
      </c>
    </row>
    <row r="188" spans="18:18" ht="13.8">
      <c r="R188" s="10">
        <v>160</v>
      </c>
    </row>
    <row r="189" spans="18:18" ht="13.8">
      <c r="R189" s="10">
        <v>161</v>
      </c>
    </row>
    <row r="190" spans="18:18" ht="13.8">
      <c r="R190" s="10">
        <v>162</v>
      </c>
    </row>
    <row r="191" spans="18:18" ht="13.8">
      <c r="R191" s="10">
        <v>163</v>
      </c>
    </row>
    <row r="192" spans="18:18" ht="13.8">
      <c r="R192" s="10">
        <v>164</v>
      </c>
    </row>
    <row r="193" spans="18:18" ht="13.8">
      <c r="R193" s="10">
        <v>165</v>
      </c>
    </row>
    <row r="194" spans="18:18" ht="13.8">
      <c r="R194" s="10">
        <v>166</v>
      </c>
    </row>
    <row r="195" spans="18:18" ht="13.8">
      <c r="R195" s="10">
        <v>167</v>
      </c>
    </row>
    <row r="196" spans="18:18" ht="13.8">
      <c r="R196" s="10">
        <v>168</v>
      </c>
    </row>
    <row r="197" spans="18:18" ht="13.8">
      <c r="R197" s="10">
        <v>169</v>
      </c>
    </row>
    <row r="198" spans="18:18" ht="13.8">
      <c r="R198" s="10">
        <v>170</v>
      </c>
    </row>
    <row r="199" spans="18:18" ht="13.8">
      <c r="R199" s="10">
        <v>171</v>
      </c>
    </row>
    <row r="200" spans="18:18" ht="13.8">
      <c r="R200" s="10">
        <v>172</v>
      </c>
    </row>
    <row r="201" spans="18:18" ht="13.8">
      <c r="R201" s="10">
        <v>173</v>
      </c>
    </row>
    <row r="202" spans="18:18" ht="13.8">
      <c r="R202" s="10">
        <v>174</v>
      </c>
    </row>
    <row r="203" spans="18:18" ht="13.8">
      <c r="R203" s="10">
        <v>175</v>
      </c>
    </row>
    <row r="204" spans="18:18" ht="13.8">
      <c r="R204" s="10">
        <v>176</v>
      </c>
    </row>
    <row r="205" spans="18:18" ht="13.8">
      <c r="R205" s="10">
        <v>177</v>
      </c>
    </row>
    <row r="206" spans="18:18" ht="13.8">
      <c r="R206" s="10">
        <v>178</v>
      </c>
    </row>
    <row r="207" spans="18:18" ht="13.8">
      <c r="R207" s="10">
        <v>179</v>
      </c>
    </row>
    <row r="208" spans="18:18" ht="13.8">
      <c r="R208" s="10">
        <v>180</v>
      </c>
    </row>
    <row r="209" spans="18:18" ht="13.8">
      <c r="R209" s="10">
        <v>181</v>
      </c>
    </row>
    <row r="210" spans="18:18" ht="13.8">
      <c r="R210" s="10">
        <v>182</v>
      </c>
    </row>
    <row r="211" spans="18:18" ht="13.8">
      <c r="R211" s="10">
        <v>183</v>
      </c>
    </row>
    <row r="212" spans="18:18" ht="13.8">
      <c r="R212" s="10">
        <v>184</v>
      </c>
    </row>
    <row r="213" spans="18:18" ht="13.8">
      <c r="R213" s="10">
        <v>185</v>
      </c>
    </row>
    <row r="214" spans="18:18" ht="13.8">
      <c r="R214" s="10">
        <v>186</v>
      </c>
    </row>
    <row r="215" spans="18:18" ht="13.8">
      <c r="R215" s="10">
        <v>187</v>
      </c>
    </row>
    <row r="216" spans="18:18" ht="13.8">
      <c r="R216" s="10">
        <v>188</v>
      </c>
    </row>
    <row r="217" spans="18:18" ht="13.8">
      <c r="R217" s="10">
        <v>189</v>
      </c>
    </row>
    <row r="218" spans="18:18" ht="13.8">
      <c r="R218" s="10">
        <v>190</v>
      </c>
    </row>
    <row r="219" spans="18:18" ht="13.8">
      <c r="R219" s="10">
        <v>191</v>
      </c>
    </row>
    <row r="220" spans="18:18" ht="13.8">
      <c r="R220" s="10">
        <v>192</v>
      </c>
    </row>
    <row r="221" spans="18:18" ht="13.8">
      <c r="R221" s="10">
        <v>193</v>
      </c>
    </row>
    <row r="222" spans="18:18" ht="13.8">
      <c r="R222" s="10">
        <v>194</v>
      </c>
    </row>
    <row r="223" spans="18:18" ht="13.8">
      <c r="R223" s="10">
        <v>195</v>
      </c>
    </row>
    <row r="224" spans="18:18" ht="13.8">
      <c r="R224" s="10">
        <v>196</v>
      </c>
    </row>
    <row r="225" spans="18:18" ht="13.8">
      <c r="R225" s="10">
        <v>197</v>
      </c>
    </row>
    <row r="226" spans="18:18" ht="13.8">
      <c r="R226" s="10">
        <v>198</v>
      </c>
    </row>
    <row r="227" spans="18:18" ht="13.8">
      <c r="R227" s="10">
        <v>199</v>
      </c>
    </row>
    <row r="228" spans="18:18" ht="13.8">
      <c r="R228" s="10">
        <v>200</v>
      </c>
    </row>
    <row r="229" spans="18:18" ht="13.8">
      <c r="R229" s="10">
        <v>201</v>
      </c>
    </row>
    <row r="230" spans="18:18" ht="13.8">
      <c r="R230" s="10">
        <v>202</v>
      </c>
    </row>
    <row r="231" spans="18:18" ht="13.8">
      <c r="R231" s="10">
        <v>203</v>
      </c>
    </row>
    <row r="232" spans="18:18" ht="13.8">
      <c r="R232" s="10">
        <v>204</v>
      </c>
    </row>
    <row r="233" spans="18:18" ht="13.8">
      <c r="R233" s="10">
        <v>205</v>
      </c>
    </row>
    <row r="234" spans="18:18" ht="13.8">
      <c r="R234" s="10">
        <v>206</v>
      </c>
    </row>
    <row r="235" spans="18:18" ht="13.8">
      <c r="R235" s="10">
        <v>207</v>
      </c>
    </row>
    <row r="236" spans="18:18" ht="13.8">
      <c r="R236" s="10">
        <v>208</v>
      </c>
    </row>
    <row r="237" spans="18:18" ht="13.8">
      <c r="R237" s="10">
        <v>209</v>
      </c>
    </row>
    <row r="238" spans="18:18" ht="13.8">
      <c r="R238" s="10">
        <v>210</v>
      </c>
    </row>
    <row r="239" spans="18:18" ht="13.8">
      <c r="R239" s="10">
        <v>211</v>
      </c>
    </row>
    <row r="240" spans="18:18" ht="13.8">
      <c r="R240" s="10">
        <v>212</v>
      </c>
    </row>
    <row r="241" spans="18:18" ht="13.8">
      <c r="R241" s="10">
        <v>213</v>
      </c>
    </row>
    <row r="242" spans="18:18" ht="13.8">
      <c r="R242" s="10">
        <v>214</v>
      </c>
    </row>
    <row r="243" spans="18:18" ht="13.8">
      <c r="R243" s="10">
        <v>215</v>
      </c>
    </row>
    <row r="244" spans="18:18" ht="13.8">
      <c r="R244" s="10">
        <v>216</v>
      </c>
    </row>
    <row r="245" spans="18:18" ht="13.8">
      <c r="R245" s="10">
        <v>217</v>
      </c>
    </row>
    <row r="246" spans="18:18" ht="13.8">
      <c r="R246" s="10">
        <v>218</v>
      </c>
    </row>
    <row r="247" spans="18:18" ht="13.8">
      <c r="R247" s="10">
        <v>219</v>
      </c>
    </row>
    <row r="248" spans="18:18" ht="13.8">
      <c r="R248" s="10">
        <v>220</v>
      </c>
    </row>
    <row r="249" spans="18:18" ht="13.8">
      <c r="R249" s="10">
        <v>221</v>
      </c>
    </row>
    <row r="250" spans="18:18" ht="13.8">
      <c r="R250" s="10">
        <v>222</v>
      </c>
    </row>
    <row r="251" spans="18:18" ht="13.8">
      <c r="R251" s="10">
        <v>223</v>
      </c>
    </row>
    <row r="252" spans="18:18" ht="13.8">
      <c r="R252" s="10">
        <v>224</v>
      </c>
    </row>
    <row r="253" spans="18:18" ht="13.8">
      <c r="R253" s="10">
        <v>225</v>
      </c>
    </row>
    <row r="254" spans="18:18" ht="13.8">
      <c r="R254" s="10">
        <v>226</v>
      </c>
    </row>
    <row r="255" spans="18:18" ht="13.8">
      <c r="R255" s="10">
        <v>227</v>
      </c>
    </row>
    <row r="256" spans="18:18" ht="13.8">
      <c r="R256" s="10">
        <v>228</v>
      </c>
    </row>
    <row r="257" spans="18:18" ht="13.8">
      <c r="R257" s="10">
        <v>229</v>
      </c>
    </row>
    <row r="258" spans="18:18" ht="13.8">
      <c r="R258" s="10">
        <v>230</v>
      </c>
    </row>
    <row r="259" spans="18:18" ht="13.8">
      <c r="R259" s="10">
        <v>231</v>
      </c>
    </row>
    <row r="260" spans="18:18" ht="13.8">
      <c r="R260" s="10">
        <v>232</v>
      </c>
    </row>
    <row r="261" spans="18:18" ht="13.8">
      <c r="R261" s="10">
        <v>233</v>
      </c>
    </row>
    <row r="262" spans="18:18" ht="13.8">
      <c r="R262" s="10">
        <v>234</v>
      </c>
    </row>
    <row r="263" spans="18:18" ht="13.8">
      <c r="R263" s="10">
        <v>235</v>
      </c>
    </row>
    <row r="264" spans="18:18" ht="13.8">
      <c r="R264" s="10">
        <v>236</v>
      </c>
    </row>
    <row r="265" spans="18:18" ht="13.8">
      <c r="R265" s="10">
        <v>237</v>
      </c>
    </row>
    <row r="266" spans="18:18" ht="13.8">
      <c r="R266" s="10">
        <v>238</v>
      </c>
    </row>
    <row r="267" spans="18:18" ht="13.8">
      <c r="R267" s="10">
        <v>239</v>
      </c>
    </row>
    <row r="268" spans="18:18" ht="13.8">
      <c r="R268" s="10">
        <v>240</v>
      </c>
    </row>
    <row r="269" spans="18:18" ht="13.8">
      <c r="R269" s="10">
        <v>241</v>
      </c>
    </row>
    <row r="270" spans="18:18" ht="13.8">
      <c r="R270" s="10">
        <v>242</v>
      </c>
    </row>
    <row r="271" spans="18:18" ht="13.8">
      <c r="R271" s="10">
        <v>243</v>
      </c>
    </row>
    <row r="272" spans="18:18" ht="13.8">
      <c r="R272" s="10">
        <v>244</v>
      </c>
    </row>
    <row r="273" spans="18:18" ht="13.8">
      <c r="R273" s="10">
        <v>245</v>
      </c>
    </row>
    <row r="274" spans="18:18" ht="13.8">
      <c r="R274" s="10">
        <v>246</v>
      </c>
    </row>
    <row r="275" spans="18:18" ht="13.8">
      <c r="R275" s="10">
        <v>247</v>
      </c>
    </row>
    <row r="276" spans="18:18" ht="13.8">
      <c r="R276" s="10">
        <v>248</v>
      </c>
    </row>
    <row r="277" spans="18:18" ht="13.8">
      <c r="R277" s="10">
        <v>249</v>
      </c>
    </row>
    <row r="278" spans="18:18" ht="13.8">
      <c r="R278" s="10">
        <v>250</v>
      </c>
    </row>
    <row r="279" spans="18:18" ht="13.8">
      <c r="R279" s="10">
        <v>251</v>
      </c>
    </row>
    <row r="280" spans="18:18" ht="13.8">
      <c r="R280" s="10">
        <v>252</v>
      </c>
    </row>
    <row r="281" spans="18:18" ht="13.8">
      <c r="R281" s="10">
        <v>253</v>
      </c>
    </row>
    <row r="282" spans="18:18" ht="13.8">
      <c r="R282" s="10">
        <v>254</v>
      </c>
    </row>
    <row r="283" spans="18:18" ht="13.8">
      <c r="R283" s="10">
        <v>255</v>
      </c>
    </row>
    <row r="284" spans="18:18" ht="13.8">
      <c r="R284" s="10">
        <v>256</v>
      </c>
    </row>
    <row r="285" spans="18:18" ht="13.8">
      <c r="R285" s="10">
        <v>257</v>
      </c>
    </row>
    <row r="286" spans="18:18" ht="13.8">
      <c r="R286" s="10">
        <v>258</v>
      </c>
    </row>
    <row r="287" spans="18:18" ht="13.8">
      <c r="R287" s="10">
        <v>259</v>
      </c>
    </row>
    <row r="288" spans="18:18" ht="13.8">
      <c r="R288" s="10">
        <v>260</v>
      </c>
    </row>
    <row r="289" spans="18:18" ht="13.8">
      <c r="R289" s="10">
        <v>261</v>
      </c>
    </row>
    <row r="290" spans="18:18" ht="13.8">
      <c r="R290" s="10">
        <v>262</v>
      </c>
    </row>
    <row r="291" spans="18:18" ht="13.8">
      <c r="R291" s="10">
        <v>263</v>
      </c>
    </row>
    <row r="292" spans="18:18" ht="13.8">
      <c r="R292" s="10">
        <v>264</v>
      </c>
    </row>
    <row r="293" spans="18:18" ht="13.8">
      <c r="R293" s="10">
        <v>265</v>
      </c>
    </row>
    <row r="294" spans="18:18" ht="13.8">
      <c r="R294" s="10">
        <v>266</v>
      </c>
    </row>
    <row r="295" spans="18:18" ht="13.8">
      <c r="R295" s="10">
        <v>267</v>
      </c>
    </row>
    <row r="296" spans="18:18" ht="13.8">
      <c r="R296" s="10">
        <v>268</v>
      </c>
    </row>
    <row r="297" spans="18:18" ht="13.8">
      <c r="R297" s="10">
        <v>269</v>
      </c>
    </row>
    <row r="298" spans="18:18" ht="13.8">
      <c r="R298" s="10">
        <v>270</v>
      </c>
    </row>
    <row r="299" spans="18:18" ht="13.8">
      <c r="R299" s="10">
        <v>271</v>
      </c>
    </row>
    <row r="300" spans="18:18" ht="13.8">
      <c r="R300" s="10">
        <v>272</v>
      </c>
    </row>
    <row r="301" spans="18:18" ht="13.8">
      <c r="R301" s="10">
        <v>273</v>
      </c>
    </row>
    <row r="302" spans="18:18" ht="13.8">
      <c r="R302" s="10">
        <v>274</v>
      </c>
    </row>
    <row r="303" spans="18:18" ht="13.8">
      <c r="R303" s="10">
        <v>275</v>
      </c>
    </row>
    <row r="304" spans="18:18" ht="13.8">
      <c r="R304" s="10">
        <v>276</v>
      </c>
    </row>
    <row r="305" spans="18:18" ht="13.8">
      <c r="R305" s="10">
        <v>277</v>
      </c>
    </row>
    <row r="306" spans="18:18" ht="13.8">
      <c r="R306" s="10">
        <v>278</v>
      </c>
    </row>
    <row r="307" spans="18:18" ht="13.8">
      <c r="R307" s="10">
        <v>279</v>
      </c>
    </row>
    <row r="308" spans="18:18" ht="13.8">
      <c r="R308" s="10">
        <v>280</v>
      </c>
    </row>
    <row r="309" spans="18:18" ht="13.8">
      <c r="R309" s="10">
        <v>281</v>
      </c>
    </row>
    <row r="310" spans="18:18" ht="13.8">
      <c r="R310" s="10">
        <v>282</v>
      </c>
    </row>
    <row r="311" spans="18:18" ht="13.8">
      <c r="R311" s="10">
        <v>283</v>
      </c>
    </row>
    <row r="312" spans="18:18" ht="13.8">
      <c r="R312" s="10">
        <v>284</v>
      </c>
    </row>
    <row r="313" spans="18:18" ht="13.8">
      <c r="R313" s="10">
        <v>285</v>
      </c>
    </row>
    <row r="314" spans="18:18" ht="13.8">
      <c r="R314" s="10">
        <v>286</v>
      </c>
    </row>
    <row r="315" spans="18:18" ht="13.8">
      <c r="R315" s="10">
        <v>287</v>
      </c>
    </row>
    <row r="316" spans="18:18" ht="13.8">
      <c r="R316" s="10">
        <v>288</v>
      </c>
    </row>
    <row r="317" spans="18:18" ht="13.8">
      <c r="R317" s="10">
        <v>289</v>
      </c>
    </row>
    <row r="318" spans="18:18" ht="13.8">
      <c r="R318" s="10">
        <v>290</v>
      </c>
    </row>
    <row r="319" spans="18:18" ht="13.8">
      <c r="R319" s="10">
        <v>291</v>
      </c>
    </row>
    <row r="320" spans="18:18" ht="13.8">
      <c r="R320" s="10">
        <v>292</v>
      </c>
    </row>
    <row r="321" spans="18:18" ht="13.8">
      <c r="R321" s="10">
        <v>293</v>
      </c>
    </row>
    <row r="322" spans="18:18" ht="13.8">
      <c r="R322" s="10">
        <v>294</v>
      </c>
    </row>
    <row r="323" spans="18:18" ht="13.8">
      <c r="R323" s="10">
        <v>295</v>
      </c>
    </row>
    <row r="324" spans="18:18" ht="13.8">
      <c r="R324" s="10">
        <v>296</v>
      </c>
    </row>
    <row r="325" spans="18:18" ht="13.8">
      <c r="R325" s="10">
        <v>297</v>
      </c>
    </row>
    <row r="326" spans="18:18" ht="13.8">
      <c r="R326" s="10">
        <v>298</v>
      </c>
    </row>
    <row r="327" spans="18:18" ht="13.8">
      <c r="R327" s="10">
        <v>299</v>
      </c>
    </row>
    <row r="328" spans="18:18" ht="13.8">
      <c r="R328" s="10">
        <v>300</v>
      </c>
    </row>
    <row r="329" spans="18:18" ht="13.8">
      <c r="R329" s="10">
        <v>301</v>
      </c>
    </row>
    <row r="330" spans="18:18" ht="13.8">
      <c r="R330" s="10">
        <v>302</v>
      </c>
    </row>
    <row r="331" spans="18:18" ht="13.8">
      <c r="R331" s="10">
        <v>303</v>
      </c>
    </row>
    <row r="332" spans="18:18" ht="13.8">
      <c r="R332" s="10">
        <v>304</v>
      </c>
    </row>
    <row r="333" spans="18:18" ht="13.8">
      <c r="R333" s="10">
        <v>305</v>
      </c>
    </row>
    <row r="334" spans="18:18" ht="13.8">
      <c r="R334" s="10">
        <v>306</v>
      </c>
    </row>
    <row r="335" spans="18:18" ht="13.8">
      <c r="R335" s="10">
        <v>307</v>
      </c>
    </row>
    <row r="336" spans="18:18" ht="13.8">
      <c r="R336" s="10">
        <v>308</v>
      </c>
    </row>
    <row r="337" spans="18:18" ht="13.8">
      <c r="R337" s="10">
        <v>309</v>
      </c>
    </row>
    <row r="338" spans="18:18" ht="13.8">
      <c r="R338" s="10">
        <v>310</v>
      </c>
    </row>
    <row r="339" spans="18:18" ht="13.8">
      <c r="R339" s="10">
        <v>311</v>
      </c>
    </row>
    <row r="340" spans="18:18" ht="13.8">
      <c r="R340" s="10">
        <v>312</v>
      </c>
    </row>
    <row r="341" spans="18:18" ht="13.8">
      <c r="R341" s="10">
        <v>313</v>
      </c>
    </row>
    <row r="342" spans="18:18" ht="13.8">
      <c r="R342" s="10">
        <v>314</v>
      </c>
    </row>
    <row r="343" spans="18:18" ht="13.8">
      <c r="R343" s="10">
        <v>315</v>
      </c>
    </row>
    <row r="344" spans="18:18" ht="13.8">
      <c r="R344" s="10">
        <v>316</v>
      </c>
    </row>
    <row r="345" spans="18:18" ht="13.8">
      <c r="R345" s="10">
        <v>317</v>
      </c>
    </row>
    <row r="346" spans="18:18" ht="13.8">
      <c r="R346" s="10">
        <v>318</v>
      </c>
    </row>
    <row r="347" spans="18:18" ht="13.8">
      <c r="R347" s="10">
        <v>319</v>
      </c>
    </row>
    <row r="348" spans="18:18" ht="13.8">
      <c r="R348" s="10">
        <v>320</v>
      </c>
    </row>
    <row r="349" spans="18:18" ht="13.8">
      <c r="R349" s="10">
        <v>321</v>
      </c>
    </row>
    <row r="350" spans="18:18" ht="13.8">
      <c r="R350" s="10">
        <v>322</v>
      </c>
    </row>
    <row r="351" spans="18:18" ht="13.8">
      <c r="R351" s="10">
        <v>323</v>
      </c>
    </row>
    <row r="352" spans="18:18" ht="13.8">
      <c r="R352" s="10">
        <v>324</v>
      </c>
    </row>
    <row r="353" spans="18:18" ht="13.8">
      <c r="R353" s="10">
        <v>325</v>
      </c>
    </row>
    <row r="354" spans="18:18" ht="13.8">
      <c r="R354" s="10">
        <v>326</v>
      </c>
    </row>
    <row r="355" spans="18:18" ht="13.8">
      <c r="R355" s="10">
        <v>327</v>
      </c>
    </row>
    <row r="356" spans="18:18" ht="13.8">
      <c r="R356" s="10">
        <v>328</v>
      </c>
    </row>
    <row r="357" spans="18:18" ht="13.8">
      <c r="R357" s="10">
        <v>329</v>
      </c>
    </row>
    <row r="358" spans="18:18" ht="13.8">
      <c r="R358" s="10">
        <v>330</v>
      </c>
    </row>
    <row r="359" spans="18:18" ht="13.8">
      <c r="R359" s="10">
        <v>331</v>
      </c>
    </row>
    <row r="360" spans="18:18" ht="13.8">
      <c r="R360" s="10">
        <v>332</v>
      </c>
    </row>
    <row r="361" spans="18:18" ht="13.8">
      <c r="R361" s="10">
        <v>333</v>
      </c>
    </row>
    <row r="362" spans="18:18" ht="13.8">
      <c r="R362" s="10">
        <v>334</v>
      </c>
    </row>
    <row r="363" spans="18:18" ht="13.8">
      <c r="R363" s="10">
        <v>335</v>
      </c>
    </row>
    <row r="364" spans="18:18" ht="13.8">
      <c r="R364" s="10">
        <v>336</v>
      </c>
    </row>
    <row r="365" spans="18:18" ht="13.8">
      <c r="R365" s="10">
        <v>337</v>
      </c>
    </row>
    <row r="366" spans="18:18" ht="13.8">
      <c r="R366" s="10">
        <v>338</v>
      </c>
    </row>
    <row r="367" spans="18:18" ht="13.8">
      <c r="R367" s="10">
        <v>339</v>
      </c>
    </row>
    <row r="368" spans="18:18" ht="13.8">
      <c r="R368" s="10">
        <v>340</v>
      </c>
    </row>
    <row r="369" spans="18:18" ht="13.8">
      <c r="R369" s="10">
        <v>341</v>
      </c>
    </row>
    <row r="370" spans="18:18" ht="13.8">
      <c r="R370" s="10">
        <v>342</v>
      </c>
    </row>
    <row r="371" spans="18:18" ht="13.8">
      <c r="R371" s="10">
        <v>343</v>
      </c>
    </row>
    <row r="372" spans="18:18" ht="13.8">
      <c r="R372" s="10">
        <v>344</v>
      </c>
    </row>
    <row r="373" spans="18:18" ht="13.8">
      <c r="R373" s="10">
        <v>345</v>
      </c>
    </row>
    <row r="374" spans="18:18" ht="13.8">
      <c r="R374" s="10">
        <v>346</v>
      </c>
    </row>
    <row r="375" spans="18:18" ht="13.8">
      <c r="R375" s="10">
        <v>347</v>
      </c>
    </row>
    <row r="376" spans="18:18" ht="13.8">
      <c r="R376" s="10">
        <v>348</v>
      </c>
    </row>
    <row r="377" spans="18:18" ht="13.8">
      <c r="R377" s="10">
        <v>349</v>
      </c>
    </row>
    <row r="378" spans="18:18" ht="13.8">
      <c r="R378" s="10">
        <v>350</v>
      </c>
    </row>
    <row r="379" spans="18:18" ht="13.8">
      <c r="R379" s="10">
        <v>351</v>
      </c>
    </row>
    <row r="380" spans="18:18" ht="13.8">
      <c r="R380" s="10">
        <v>352</v>
      </c>
    </row>
    <row r="381" spans="18:18" ht="13.8">
      <c r="R381" s="10">
        <v>353</v>
      </c>
    </row>
    <row r="382" spans="18:18" ht="13.8">
      <c r="R382" s="10">
        <v>354</v>
      </c>
    </row>
    <row r="383" spans="18:18" ht="13.8">
      <c r="R383" s="10">
        <v>355</v>
      </c>
    </row>
    <row r="384" spans="18:18" ht="13.8">
      <c r="R384" s="10">
        <v>356</v>
      </c>
    </row>
    <row r="385" spans="18:18" ht="13.8">
      <c r="R385" s="10">
        <v>357</v>
      </c>
    </row>
    <row r="386" spans="18:18" ht="13.8">
      <c r="R386" s="10">
        <v>358</v>
      </c>
    </row>
    <row r="387" spans="18:18" ht="13.8">
      <c r="R387" s="10">
        <v>359</v>
      </c>
    </row>
    <row r="388" spans="18:18" ht="13.8">
      <c r="R388" s="10">
        <v>360</v>
      </c>
    </row>
    <row r="389" spans="18:18" ht="13.8">
      <c r="R389" s="10">
        <v>361</v>
      </c>
    </row>
    <row r="390" spans="18:18" ht="13.8">
      <c r="R390" s="10">
        <v>362</v>
      </c>
    </row>
    <row r="391" spans="18:18" ht="13.8">
      <c r="R391" s="10">
        <v>363</v>
      </c>
    </row>
    <row r="392" spans="18:18" ht="13.8">
      <c r="R392" s="10">
        <v>364</v>
      </c>
    </row>
    <row r="393" spans="18:18" ht="13.8">
      <c r="R393" s="10">
        <v>365</v>
      </c>
    </row>
    <row r="394" spans="18:18" ht="13.8">
      <c r="R394" s="10">
        <v>366</v>
      </c>
    </row>
    <row r="395" spans="18:18" ht="13.8">
      <c r="R395" s="10">
        <v>367</v>
      </c>
    </row>
    <row r="396" spans="18:18" ht="13.8">
      <c r="R396" s="10">
        <v>368</v>
      </c>
    </row>
    <row r="397" spans="18:18" ht="13.8">
      <c r="R397" s="10">
        <v>369</v>
      </c>
    </row>
    <row r="398" spans="18:18" ht="13.8">
      <c r="R398" s="10">
        <v>370</v>
      </c>
    </row>
    <row r="399" spans="18:18" ht="13.8">
      <c r="R399" s="10">
        <v>371</v>
      </c>
    </row>
    <row r="400" spans="18:18" ht="13.8">
      <c r="R400" s="10">
        <v>372</v>
      </c>
    </row>
    <row r="401" spans="18:18" ht="13.8">
      <c r="R401" s="10">
        <v>373</v>
      </c>
    </row>
    <row r="402" spans="18:18" ht="13.8">
      <c r="R402" s="10">
        <v>374</v>
      </c>
    </row>
    <row r="403" spans="18:18" ht="13.8">
      <c r="R403" s="10">
        <v>375</v>
      </c>
    </row>
    <row r="404" spans="18:18" ht="13.8">
      <c r="R404" s="10">
        <v>376</v>
      </c>
    </row>
    <row r="405" spans="18:18" ht="13.8">
      <c r="R405" s="10">
        <v>377</v>
      </c>
    </row>
    <row r="406" spans="18:18" ht="13.8">
      <c r="R406" s="10">
        <v>378</v>
      </c>
    </row>
    <row r="407" spans="18:18" ht="13.8">
      <c r="R407" s="10">
        <v>379</v>
      </c>
    </row>
    <row r="408" spans="18:18" ht="13.8">
      <c r="R408" s="10">
        <v>380</v>
      </c>
    </row>
    <row r="409" spans="18:18" ht="13.8">
      <c r="R409" s="10">
        <v>381</v>
      </c>
    </row>
    <row r="410" spans="18:18" ht="13.8">
      <c r="R410" s="10">
        <v>382</v>
      </c>
    </row>
    <row r="411" spans="18:18" ht="13.8">
      <c r="R411" s="10">
        <v>383</v>
      </c>
    </row>
    <row r="412" spans="18:18" ht="13.8">
      <c r="R412" s="10">
        <v>384</v>
      </c>
    </row>
    <row r="413" spans="18:18" ht="13.8">
      <c r="R413" s="10">
        <v>385</v>
      </c>
    </row>
    <row r="414" spans="18:18" ht="13.8">
      <c r="R414" s="10">
        <v>386</v>
      </c>
    </row>
    <row r="415" spans="18:18" ht="13.8">
      <c r="R415" s="10">
        <v>387</v>
      </c>
    </row>
    <row r="416" spans="18:18" ht="13.8">
      <c r="R416" s="10">
        <v>388</v>
      </c>
    </row>
    <row r="417" spans="18:18" ht="13.8">
      <c r="R417" s="10">
        <v>389</v>
      </c>
    </row>
    <row r="418" spans="18:18" ht="13.8">
      <c r="R418" s="10">
        <v>390</v>
      </c>
    </row>
    <row r="419" spans="18:18" ht="13.8">
      <c r="R419" s="10">
        <v>391</v>
      </c>
    </row>
    <row r="420" spans="18:18" ht="13.8">
      <c r="R420" s="10">
        <v>392</v>
      </c>
    </row>
    <row r="421" spans="18:18" ht="13.8">
      <c r="R421" s="10">
        <v>393</v>
      </c>
    </row>
    <row r="422" spans="18:18" ht="13.8">
      <c r="R422" s="10">
        <v>394</v>
      </c>
    </row>
    <row r="423" spans="18:18" ht="13.8">
      <c r="R423" s="10">
        <v>395</v>
      </c>
    </row>
    <row r="424" spans="18:18" ht="13.8">
      <c r="R424" s="10">
        <v>396</v>
      </c>
    </row>
    <row r="425" spans="18:18" ht="13.8">
      <c r="R425" s="10">
        <v>397</v>
      </c>
    </row>
    <row r="426" spans="18:18" ht="13.8">
      <c r="R426" s="10">
        <v>398</v>
      </c>
    </row>
    <row r="427" spans="18:18" ht="13.8">
      <c r="R427" s="10">
        <v>399</v>
      </c>
    </row>
    <row r="428" spans="18:18" ht="13.8">
      <c r="R428" s="10">
        <v>400</v>
      </c>
    </row>
    <row r="429" spans="18:18" ht="13.8">
      <c r="R429" s="10">
        <v>401</v>
      </c>
    </row>
    <row r="430" spans="18:18" ht="13.8">
      <c r="R430" s="10">
        <v>402</v>
      </c>
    </row>
    <row r="431" spans="18:18" ht="13.8">
      <c r="R431" s="10">
        <v>403</v>
      </c>
    </row>
    <row r="432" spans="18:18" ht="13.8">
      <c r="R432" s="10">
        <v>404</v>
      </c>
    </row>
    <row r="433" spans="18:18" ht="13.8">
      <c r="R433" s="10">
        <v>405</v>
      </c>
    </row>
    <row r="434" spans="18:18" ht="13.8">
      <c r="R434" s="10">
        <v>406</v>
      </c>
    </row>
    <row r="435" spans="18:18" ht="13.8">
      <c r="R435" s="10">
        <v>407</v>
      </c>
    </row>
    <row r="436" spans="18:18" ht="13.8">
      <c r="R436" s="10">
        <v>408</v>
      </c>
    </row>
    <row r="437" spans="18:18" ht="13.8">
      <c r="R437" s="10">
        <v>409</v>
      </c>
    </row>
    <row r="438" spans="18:18" ht="13.8">
      <c r="R438" s="10">
        <v>410</v>
      </c>
    </row>
    <row r="439" spans="18:18" ht="13.8">
      <c r="R439" s="10">
        <v>411</v>
      </c>
    </row>
    <row r="440" spans="18:18" ht="13.8">
      <c r="R440" s="10">
        <v>412</v>
      </c>
    </row>
    <row r="441" spans="18:18" ht="13.8">
      <c r="R441" s="10">
        <v>413</v>
      </c>
    </row>
    <row r="442" spans="18:18" ht="13.8">
      <c r="R442" s="10">
        <v>414</v>
      </c>
    </row>
    <row r="443" spans="18:18" ht="13.8">
      <c r="R443" s="10">
        <v>415</v>
      </c>
    </row>
    <row r="444" spans="18:18" ht="13.8">
      <c r="R444" s="10">
        <v>416</v>
      </c>
    </row>
    <row r="445" spans="18:18" ht="13.8">
      <c r="R445" s="10">
        <v>417</v>
      </c>
    </row>
    <row r="446" spans="18:18" ht="13.8">
      <c r="R446" s="10">
        <v>418</v>
      </c>
    </row>
    <row r="447" spans="18:18" ht="13.8">
      <c r="R447" s="10">
        <v>419</v>
      </c>
    </row>
    <row r="448" spans="18:18" ht="13.8">
      <c r="R448" s="10">
        <v>420</v>
      </c>
    </row>
    <row r="449" spans="18:18" ht="13.8">
      <c r="R449" s="10">
        <v>421</v>
      </c>
    </row>
    <row r="450" spans="18:18" ht="13.8">
      <c r="R450" s="10">
        <v>422</v>
      </c>
    </row>
    <row r="451" spans="18:18" ht="13.8">
      <c r="R451" s="10">
        <v>423</v>
      </c>
    </row>
    <row r="452" spans="18:18" ht="13.8">
      <c r="R452" s="10">
        <v>424</v>
      </c>
    </row>
    <row r="453" spans="18:18" ht="13.8">
      <c r="R453" s="10">
        <v>425</v>
      </c>
    </row>
    <row r="454" spans="18:18" ht="13.8">
      <c r="R454" s="10">
        <v>426</v>
      </c>
    </row>
    <row r="455" spans="18:18" ht="13.8">
      <c r="R455" s="10">
        <v>427</v>
      </c>
    </row>
    <row r="456" spans="18:18" ht="13.8">
      <c r="R456" s="10">
        <v>428</v>
      </c>
    </row>
    <row r="457" spans="18:18" ht="13.8">
      <c r="R457" s="10">
        <v>429</v>
      </c>
    </row>
    <row r="458" spans="18:18" ht="13.8">
      <c r="R458" s="10">
        <v>430</v>
      </c>
    </row>
    <row r="459" spans="18:18" ht="13.8">
      <c r="R459" s="10">
        <v>431</v>
      </c>
    </row>
    <row r="460" spans="18:18" ht="13.8">
      <c r="R460" s="10">
        <v>432</v>
      </c>
    </row>
    <row r="461" spans="18:18" ht="13.8">
      <c r="R461" s="10">
        <v>433</v>
      </c>
    </row>
    <row r="462" spans="18:18" ht="13.8">
      <c r="R462" s="10">
        <v>434</v>
      </c>
    </row>
    <row r="463" spans="18:18" ht="13.8">
      <c r="R463" s="10">
        <v>435</v>
      </c>
    </row>
    <row r="464" spans="18:18" ht="13.8">
      <c r="R464" s="10">
        <v>436</v>
      </c>
    </row>
    <row r="465" spans="18:18" ht="13.8">
      <c r="R465" s="10">
        <v>437</v>
      </c>
    </row>
    <row r="466" spans="18:18" ht="13.8">
      <c r="R466" s="10">
        <v>438</v>
      </c>
    </row>
    <row r="467" spans="18:18" ht="13.8">
      <c r="R467" s="10">
        <v>439</v>
      </c>
    </row>
    <row r="468" spans="18:18" ht="13.8">
      <c r="R468" s="10">
        <v>440</v>
      </c>
    </row>
    <row r="469" spans="18:18" ht="13.8">
      <c r="R469" s="10">
        <v>441</v>
      </c>
    </row>
    <row r="470" spans="18:18" ht="13.8">
      <c r="R470" s="10">
        <v>442</v>
      </c>
    </row>
    <row r="471" spans="18:18" ht="13.8">
      <c r="R471" s="10">
        <v>443</v>
      </c>
    </row>
    <row r="472" spans="18:18" ht="13.8">
      <c r="R472" s="10">
        <v>444</v>
      </c>
    </row>
    <row r="473" spans="18:18" ht="13.8">
      <c r="R473" s="10">
        <v>445</v>
      </c>
    </row>
    <row r="474" spans="18:18" ht="13.8">
      <c r="R474" s="10">
        <v>446</v>
      </c>
    </row>
    <row r="475" spans="18:18" ht="13.8">
      <c r="R475" s="10">
        <v>447</v>
      </c>
    </row>
    <row r="476" spans="18:18" ht="13.8">
      <c r="R476" s="10">
        <v>448</v>
      </c>
    </row>
    <row r="477" spans="18:18" ht="13.8">
      <c r="R477" s="10">
        <v>449</v>
      </c>
    </row>
    <row r="478" spans="18:18" ht="13.8">
      <c r="R478" s="10">
        <v>450</v>
      </c>
    </row>
    <row r="479" spans="18:18" ht="13.8">
      <c r="R479" s="10">
        <v>451</v>
      </c>
    </row>
    <row r="480" spans="18:18" ht="13.8">
      <c r="R480" s="10">
        <v>452</v>
      </c>
    </row>
    <row r="481" spans="18:18" ht="13.8">
      <c r="R481" s="10">
        <v>453</v>
      </c>
    </row>
    <row r="482" spans="18:18" ht="13.8">
      <c r="R482" s="10">
        <v>454</v>
      </c>
    </row>
    <row r="483" spans="18:18" ht="13.8">
      <c r="R483" s="10">
        <v>455</v>
      </c>
    </row>
    <row r="484" spans="18:18" ht="13.8">
      <c r="R484" s="10">
        <v>456</v>
      </c>
    </row>
    <row r="485" spans="18:18" ht="13.8">
      <c r="R485" s="10">
        <v>457</v>
      </c>
    </row>
    <row r="486" spans="18:18" ht="13.8">
      <c r="R486" s="10">
        <v>458</v>
      </c>
    </row>
    <row r="487" spans="18:18" ht="13.8">
      <c r="R487" s="10">
        <v>459</v>
      </c>
    </row>
    <row r="488" spans="18:18" ht="13.8">
      <c r="R488" s="10">
        <v>460</v>
      </c>
    </row>
    <row r="489" spans="18:18" ht="13.8">
      <c r="R489" s="10">
        <v>461</v>
      </c>
    </row>
    <row r="490" spans="18:18" ht="13.8">
      <c r="R490" s="10">
        <v>462</v>
      </c>
    </row>
    <row r="491" spans="18:18" ht="13.8">
      <c r="R491" s="10">
        <v>463</v>
      </c>
    </row>
    <row r="492" spans="18:18" ht="13.8">
      <c r="R492" s="10">
        <v>464</v>
      </c>
    </row>
    <row r="493" spans="18:18" ht="13.8">
      <c r="R493" s="10">
        <v>465</v>
      </c>
    </row>
    <row r="494" spans="18:18" ht="13.8">
      <c r="R494" s="10">
        <v>466</v>
      </c>
    </row>
    <row r="495" spans="18:18" ht="13.8">
      <c r="R495" s="10">
        <v>467</v>
      </c>
    </row>
    <row r="496" spans="18:18" ht="13.8">
      <c r="R496" s="10">
        <v>468</v>
      </c>
    </row>
    <row r="497" spans="18:18" ht="13.8">
      <c r="R497" s="10">
        <v>469</v>
      </c>
    </row>
    <row r="498" spans="18:18" ht="13.8">
      <c r="R498" s="10">
        <v>470</v>
      </c>
    </row>
    <row r="499" spans="18:18" ht="13.8">
      <c r="R499" s="10">
        <v>471</v>
      </c>
    </row>
    <row r="500" spans="18:18" ht="13.8">
      <c r="R500" s="10">
        <v>472</v>
      </c>
    </row>
    <row r="501" spans="18:18" ht="13.8">
      <c r="R501" s="10">
        <v>473</v>
      </c>
    </row>
    <row r="502" spans="18:18" ht="13.8">
      <c r="R502" s="10">
        <v>474</v>
      </c>
    </row>
    <row r="503" spans="18:18" ht="13.8">
      <c r="R503" s="10">
        <v>475</v>
      </c>
    </row>
    <row r="504" spans="18:18" ht="13.8">
      <c r="R504" s="10">
        <v>476</v>
      </c>
    </row>
    <row r="505" spans="18:18" ht="13.8">
      <c r="R505" s="10">
        <v>477</v>
      </c>
    </row>
    <row r="506" spans="18:18" ht="13.8">
      <c r="R506" s="10">
        <v>478</v>
      </c>
    </row>
    <row r="507" spans="18:18" ht="13.8">
      <c r="R507" s="10">
        <v>479</v>
      </c>
    </row>
    <row r="508" spans="18:18" ht="13.8">
      <c r="R508" s="10">
        <v>480</v>
      </c>
    </row>
    <row r="509" spans="18:18" ht="13.8">
      <c r="R509" s="10">
        <v>481</v>
      </c>
    </row>
    <row r="510" spans="18:18" ht="13.8">
      <c r="R510" s="10">
        <v>482</v>
      </c>
    </row>
    <row r="511" spans="18:18" ht="13.8">
      <c r="R511" s="10">
        <v>483</v>
      </c>
    </row>
    <row r="512" spans="18:18" ht="13.8">
      <c r="R512" s="10">
        <v>484</v>
      </c>
    </row>
    <row r="513" spans="18:18" ht="13.8">
      <c r="R513" s="10">
        <v>485</v>
      </c>
    </row>
    <row r="514" spans="18:18" ht="13.8">
      <c r="R514" s="10">
        <v>486</v>
      </c>
    </row>
    <row r="515" spans="18:18" ht="13.8">
      <c r="R515" s="10">
        <v>487</v>
      </c>
    </row>
    <row r="516" spans="18:18" ht="13.8">
      <c r="R516" s="10">
        <v>488</v>
      </c>
    </row>
    <row r="517" spans="18:18" ht="13.8">
      <c r="R517" s="10">
        <v>489</v>
      </c>
    </row>
    <row r="518" spans="18:18" ht="13.8">
      <c r="R518" s="10">
        <v>490</v>
      </c>
    </row>
    <row r="519" spans="18:18" ht="13.8">
      <c r="R519" s="10">
        <v>491</v>
      </c>
    </row>
    <row r="520" spans="18:18" ht="13.8">
      <c r="R520" s="10">
        <v>492</v>
      </c>
    </row>
    <row r="521" spans="18:18" ht="13.8">
      <c r="R521" s="10">
        <v>493</v>
      </c>
    </row>
    <row r="522" spans="18:18" ht="13.8">
      <c r="R522" s="10">
        <v>494</v>
      </c>
    </row>
    <row r="523" spans="18:18" ht="13.8">
      <c r="R523" s="10">
        <v>495</v>
      </c>
    </row>
    <row r="524" spans="18:18" ht="13.8">
      <c r="R524" s="10">
        <v>496</v>
      </c>
    </row>
    <row r="525" spans="18:18" ht="13.8">
      <c r="R525" s="10">
        <v>497</v>
      </c>
    </row>
    <row r="526" spans="18:18" ht="13.8">
      <c r="R526" s="10">
        <v>498</v>
      </c>
    </row>
    <row r="527" spans="18:18" ht="13.8">
      <c r="R527" s="10">
        <v>499</v>
      </c>
    </row>
    <row r="528" spans="18:18" ht="13.8">
      <c r="R528" s="10">
        <v>500</v>
      </c>
    </row>
    <row r="529" spans="18:18" ht="13.8">
      <c r="R529" s="10">
        <v>501</v>
      </c>
    </row>
    <row r="530" spans="18:18" ht="13.8">
      <c r="R530" s="10">
        <v>502</v>
      </c>
    </row>
    <row r="531" spans="18:18" ht="13.8">
      <c r="R531" s="10">
        <v>503</v>
      </c>
    </row>
    <row r="532" spans="18:18" ht="13.8">
      <c r="R532" s="10">
        <v>504</v>
      </c>
    </row>
    <row r="533" spans="18:18" ht="13.8">
      <c r="R533" s="10">
        <v>505</v>
      </c>
    </row>
    <row r="534" spans="18:18" ht="13.8">
      <c r="R534" s="10">
        <v>506</v>
      </c>
    </row>
    <row r="535" spans="18:18" ht="13.8">
      <c r="R535" s="10">
        <v>507</v>
      </c>
    </row>
    <row r="536" spans="18:18" ht="13.8">
      <c r="R536" s="10">
        <v>508</v>
      </c>
    </row>
    <row r="537" spans="18:18" ht="13.8">
      <c r="R537" s="10">
        <v>509</v>
      </c>
    </row>
    <row r="538" spans="18:18" ht="13.8">
      <c r="R538" s="10">
        <v>510</v>
      </c>
    </row>
    <row r="539" spans="18:18" ht="13.8">
      <c r="R539" s="10">
        <v>511</v>
      </c>
    </row>
    <row r="540" spans="18:18" ht="13.8">
      <c r="R540" s="10">
        <v>512</v>
      </c>
    </row>
    <row r="541" spans="18:18" ht="13.8">
      <c r="R541" s="10">
        <v>513</v>
      </c>
    </row>
    <row r="542" spans="18:18" ht="13.8">
      <c r="R542" s="10">
        <v>514</v>
      </c>
    </row>
    <row r="543" spans="18:18" ht="13.8">
      <c r="R543" s="10">
        <v>515</v>
      </c>
    </row>
    <row r="544" spans="18:18" ht="13.8">
      <c r="R544" s="10">
        <v>516</v>
      </c>
    </row>
    <row r="545" spans="18:18" ht="13.8">
      <c r="R545" s="10">
        <v>517</v>
      </c>
    </row>
    <row r="546" spans="18:18" ht="13.8">
      <c r="R546" s="10">
        <v>518</v>
      </c>
    </row>
    <row r="547" spans="18:18" ht="13.8">
      <c r="R547" s="10">
        <v>519</v>
      </c>
    </row>
    <row r="548" spans="18:18" ht="13.8">
      <c r="R548" s="10">
        <v>520</v>
      </c>
    </row>
    <row r="549" spans="18:18" ht="13.8">
      <c r="R549" s="10">
        <v>521</v>
      </c>
    </row>
    <row r="550" spans="18:18" ht="13.8">
      <c r="R550" s="10">
        <v>522</v>
      </c>
    </row>
    <row r="551" spans="18:18" ht="13.8">
      <c r="R551" s="10">
        <v>523</v>
      </c>
    </row>
    <row r="552" spans="18:18" ht="13.8">
      <c r="R552" s="10">
        <v>524</v>
      </c>
    </row>
    <row r="553" spans="18:18" ht="13.8">
      <c r="R553" s="10">
        <v>525</v>
      </c>
    </row>
    <row r="554" spans="18:18" ht="13.8">
      <c r="R554" s="10">
        <v>526</v>
      </c>
    </row>
    <row r="555" spans="18:18" ht="13.8">
      <c r="R555" s="10">
        <v>527</v>
      </c>
    </row>
    <row r="556" spans="18:18" ht="13.8">
      <c r="R556" s="10">
        <v>528</v>
      </c>
    </row>
    <row r="557" spans="18:18" ht="13.8">
      <c r="R557" s="10">
        <v>529</v>
      </c>
    </row>
    <row r="558" spans="18:18" ht="13.8">
      <c r="R558" s="10">
        <v>530</v>
      </c>
    </row>
    <row r="559" spans="18:18" ht="13.8">
      <c r="R559" s="10">
        <v>531</v>
      </c>
    </row>
    <row r="560" spans="18:18" ht="13.8">
      <c r="R560" s="10">
        <v>532</v>
      </c>
    </row>
    <row r="561" spans="18:18" ht="13.8">
      <c r="R561" s="10">
        <v>533</v>
      </c>
    </row>
    <row r="562" spans="18:18" ht="13.8">
      <c r="R562" s="10">
        <v>534</v>
      </c>
    </row>
    <row r="563" spans="18:18" ht="13.8">
      <c r="R563" s="10">
        <v>535</v>
      </c>
    </row>
    <row r="564" spans="18:18" ht="13.8">
      <c r="R564" s="10">
        <v>536</v>
      </c>
    </row>
    <row r="565" spans="18:18" ht="13.8">
      <c r="R565" s="10">
        <v>537</v>
      </c>
    </row>
    <row r="566" spans="18:18" ht="13.8">
      <c r="R566" s="10">
        <v>538</v>
      </c>
    </row>
    <row r="567" spans="18:18" ht="13.8">
      <c r="R567" s="10">
        <v>539</v>
      </c>
    </row>
    <row r="568" spans="18:18" ht="13.8">
      <c r="R568" s="10">
        <v>540</v>
      </c>
    </row>
    <row r="569" spans="18:18" ht="13.8">
      <c r="R569" s="10">
        <v>541</v>
      </c>
    </row>
    <row r="570" spans="18:18" ht="13.8">
      <c r="R570" s="10">
        <v>542</v>
      </c>
    </row>
    <row r="571" spans="18:18" ht="13.8">
      <c r="R571" s="10">
        <v>543</v>
      </c>
    </row>
    <row r="572" spans="18:18" ht="13.8">
      <c r="R572" s="10">
        <v>544</v>
      </c>
    </row>
    <row r="573" spans="18:18" ht="13.8">
      <c r="R573" s="10">
        <v>545</v>
      </c>
    </row>
    <row r="574" spans="18:18" ht="13.8">
      <c r="R574" s="10">
        <v>546</v>
      </c>
    </row>
    <row r="575" spans="18:18" ht="13.8">
      <c r="R575" s="10">
        <v>547</v>
      </c>
    </row>
    <row r="576" spans="18:18" ht="13.8">
      <c r="R576" s="10">
        <v>548</v>
      </c>
    </row>
    <row r="577" spans="18:18" ht="13.8">
      <c r="R577" s="10">
        <v>549</v>
      </c>
    </row>
    <row r="578" spans="18:18" ht="13.8">
      <c r="R578" s="10">
        <v>550</v>
      </c>
    </row>
    <row r="579" spans="18:18" ht="13.8">
      <c r="R579" s="10">
        <v>551</v>
      </c>
    </row>
    <row r="580" spans="18:18" ht="13.8">
      <c r="R580" s="10">
        <v>552</v>
      </c>
    </row>
    <row r="581" spans="18:18" ht="13.8">
      <c r="R581" s="10">
        <v>553</v>
      </c>
    </row>
    <row r="582" spans="18:18" ht="13.8">
      <c r="R582" s="10">
        <v>554</v>
      </c>
    </row>
    <row r="583" spans="18:18" ht="13.8">
      <c r="R583" s="10">
        <v>555</v>
      </c>
    </row>
    <row r="584" spans="18:18" ht="13.8">
      <c r="R584" s="10">
        <v>556</v>
      </c>
    </row>
    <row r="585" spans="18:18" ht="13.8">
      <c r="R585" s="10">
        <v>557</v>
      </c>
    </row>
    <row r="586" spans="18:18" ht="13.8">
      <c r="R586" s="10">
        <v>558</v>
      </c>
    </row>
    <row r="587" spans="18:18" ht="13.8">
      <c r="R587" s="10">
        <v>559</v>
      </c>
    </row>
    <row r="588" spans="18:18" ht="13.8">
      <c r="R588" s="10">
        <v>560</v>
      </c>
    </row>
    <row r="589" spans="18:18" ht="13.8">
      <c r="R589" s="10">
        <v>561</v>
      </c>
    </row>
    <row r="590" spans="18:18" ht="13.8">
      <c r="R590" s="10">
        <v>562</v>
      </c>
    </row>
    <row r="591" spans="18:18" ht="13.8">
      <c r="R591" s="10">
        <v>563</v>
      </c>
    </row>
    <row r="592" spans="18:18" ht="13.8">
      <c r="R592" s="10">
        <v>564</v>
      </c>
    </row>
    <row r="593" spans="18:18" ht="13.8">
      <c r="R593" s="10">
        <v>565</v>
      </c>
    </row>
    <row r="594" spans="18:18" ht="13.8">
      <c r="R594" s="10">
        <v>566</v>
      </c>
    </row>
    <row r="595" spans="18:18" ht="13.8">
      <c r="R595" s="10">
        <v>567</v>
      </c>
    </row>
    <row r="596" spans="18:18" ht="13.8">
      <c r="R596" s="10">
        <v>568</v>
      </c>
    </row>
    <row r="597" spans="18:18" ht="13.8">
      <c r="R597" s="10">
        <v>569</v>
      </c>
    </row>
    <row r="598" spans="18:18" ht="13.8">
      <c r="R598" s="10">
        <v>570</v>
      </c>
    </row>
    <row r="599" spans="18:18" ht="13.8">
      <c r="R599" s="10">
        <v>571</v>
      </c>
    </row>
    <row r="600" spans="18:18" ht="13.8">
      <c r="R600" s="10">
        <v>572</v>
      </c>
    </row>
    <row r="601" spans="18:18" ht="13.8">
      <c r="R601" s="10">
        <v>573</v>
      </c>
    </row>
    <row r="602" spans="18:18" ht="13.8">
      <c r="R602" s="10">
        <v>574</v>
      </c>
    </row>
    <row r="603" spans="18:18" ht="13.8">
      <c r="R603" s="10">
        <v>575</v>
      </c>
    </row>
    <row r="604" spans="18:18" ht="13.8">
      <c r="R604" s="10">
        <v>576</v>
      </c>
    </row>
    <row r="605" spans="18:18" ht="13.8">
      <c r="R605" s="10">
        <v>577</v>
      </c>
    </row>
    <row r="606" spans="18:18" ht="13.8">
      <c r="R606" s="10">
        <v>578</v>
      </c>
    </row>
    <row r="607" spans="18:18" ht="13.8">
      <c r="R607" s="10">
        <v>579</v>
      </c>
    </row>
    <row r="608" spans="18:18" ht="13.8">
      <c r="R608" s="10">
        <v>580</v>
      </c>
    </row>
    <row r="609" spans="18:18" ht="13.8">
      <c r="R609" s="10">
        <v>581</v>
      </c>
    </row>
    <row r="610" spans="18:18" ht="13.8">
      <c r="R610" s="10">
        <v>582</v>
      </c>
    </row>
    <row r="611" spans="18:18" ht="13.8">
      <c r="R611" s="10">
        <v>583</v>
      </c>
    </row>
    <row r="612" spans="18:18" ht="13.8">
      <c r="R612" s="10">
        <v>584</v>
      </c>
    </row>
    <row r="613" spans="18:18" ht="13.8">
      <c r="R613" s="10">
        <v>585</v>
      </c>
    </row>
    <row r="614" spans="18:18" ht="13.8">
      <c r="R614" s="10">
        <v>586</v>
      </c>
    </row>
    <row r="615" spans="18:18" ht="13.8">
      <c r="R615" s="10">
        <v>587</v>
      </c>
    </row>
    <row r="616" spans="18:18" ht="13.8">
      <c r="R616" s="10">
        <v>588</v>
      </c>
    </row>
    <row r="617" spans="18:18" ht="13.8">
      <c r="R617" s="10">
        <v>589</v>
      </c>
    </row>
    <row r="618" spans="18:18" ht="13.8">
      <c r="R618" s="10">
        <v>590</v>
      </c>
    </row>
    <row r="619" spans="18:18" ht="13.8">
      <c r="R619" s="10">
        <v>591</v>
      </c>
    </row>
    <row r="620" spans="18:18" ht="13.8">
      <c r="R620" s="10">
        <v>592</v>
      </c>
    </row>
    <row r="621" spans="18:18" ht="13.8">
      <c r="R621" s="10">
        <v>593</v>
      </c>
    </row>
    <row r="622" spans="18:18" ht="13.8">
      <c r="R622" s="10">
        <v>594</v>
      </c>
    </row>
    <row r="623" spans="18:18" ht="13.8">
      <c r="R623" s="10">
        <v>595</v>
      </c>
    </row>
    <row r="624" spans="18:18" ht="13.8">
      <c r="R624" s="10">
        <v>596</v>
      </c>
    </row>
    <row r="625" spans="18:18" ht="13.8">
      <c r="R625" s="10">
        <v>597</v>
      </c>
    </row>
    <row r="626" spans="18:18" ht="13.8">
      <c r="R626" s="10">
        <v>598</v>
      </c>
    </row>
    <row r="627" spans="18:18" ht="13.8">
      <c r="R627" s="10">
        <v>599</v>
      </c>
    </row>
    <row r="628" spans="18:18" ht="13.8">
      <c r="R628" s="10">
        <v>600</v>
      </c>
    </row>
    <row r="629" spans="18:18" ht="13.8">
      <c r="R629" s="10">
        <v>601</v>
      </c>
    </row>
    <row r="630" spans="18:18" ht="13.8">
      <c r="R630" s="10">
        <v>602</v>
      </c>
    </row>
    <row r="631" spans="18:18" ht="13.8">
      <c r="R631" s="10">
        <v>603</v>
      </c>
    </row>
    <row r="632" spans="18:18" ht="13.8">
      <c r="R632" s="10">
        <v>604</v>
      </c>
    </row>
    <row r="633" spans="18:18" ht="13.8">
      <c r="R633" s="10">
        <v>605</v>
      </c>
    </row>
    <row r="634" spans="18:18" ht="13.8">
      <c r="R634" s="10">
        <v>606</v>
      </c>
    </row>
    <row r="635" spans="18:18" ht="13.8">
      <c r="R635" s="10">
        <v>607</v>
      </c>
    </row>
    <row r="636" spans="18:18" ht="13.8">
      <c r="R636" s="10">
        <v>608</v>
      </c>
    </row>
    <row r="637" spans="18:18" ht="13.8">
      <c r="R637" s="10">
        <v>609</v>
      </c>
    </row>
    <row r="638" spans="18:18" ht="13.8">
      <c r="R638" s="10">
        <v>610</v>
      </c>
    </row>
    <row r="639" spans="18:18" ht="13.8">
      <c r="R639" s="10">
        <v>611</v>
      </c>
    </row>
    <row r="640" spans="18:18" ht="13.8">
      <c r="R640" s="10">
        <v>612</v>
      </c>
    </row>
    <row r="641" spans="18:18" ht="13.8">
      <c r="R641" s="10">
        <v>613</v>
      </c>
    </row>
    <row r="642" spans="18:18" ht="13.8">
      <c r="R642" s="10">
        <v>614</v>
      </c>
    </row>
    <row r="643" spans="18:18" ht="13.8">
      <c r="R643" s="10">
        <v>615</v>
      </c>
    </row>
    <row r="644" spans="18:18" ht="13.8">
      <c r="R644" s="10">
        <v>616</v>
      </c>
    </row>
    <row r="645" spans="18:18" ht="13.8">
      <c r="R645" s="10">
        <v>617</v>
      </c>
    </row>
    <row r="646" spans="18:18" ht="13.8">
      <c r="R646" s="10">
        <v>618</v>
      </c>
    </row>
    <row r="647" spans="18:18" ht="13.8">
      <c r="R647" s="10">
        <v>619</v>
      </c>
    </row>
    <row r="648" spans="18:18" ht="13.8">
      <c r="R648" s="10">
        <v>620</v>
      </c>
    </row>
    <row r="649" spans="18:18" ht="13.8">
      <c r="R649" s="10">
        <v>621</v>
      </c>
    </row>
    <row r="650" spans="18:18" ht="13.8">
      <c r="R650" s="10">
        <v>622</v>
      </c>
    </row>
    <row r="651" spans="18:18" ht="13.8">
      <c r="R651" s="10">
        <v>623</v>
      </c>
    </row>
    <row r="652" spans="18:18" ht="13.8">
      <c r="R652" s="10">
        <v>624</v>
      </c>
    </row>
    <row r="653" spans="18:18" ht="13.8">
      <c r="R653" s="10">
        <v>625</v>
      </c>
    </row>
    <row r="654" spans="18:18" ht="13.8">
      <c r="R654" s="10">
        <v>626</v>
      </c>
    </row>
    <row r="655" spans="18:18" ht="13.8">
      <c r="R655" s="10">
        <v>627</v>
      </c>
    </row>
    <row r="656" spans="18:18" ht="13.8">
      <c r="R656" s="10">
        <v>628</v>
      </c>
    </row>
    <row r="657" spans="18:18" ht="13.8">
      <c r="R657" s="10">
        <v>629</v>
      </c>
    </row>
    <row r="658" spans="18:18" ht="13.8">
      <c r="R658" s="10">
        <v>630</v>
      </c>
    </row>
    <row r="659" spans="18:18" ht="13.8">
      <c r="R659" s="10">
        <v>631</v>
      </c>
    </row>
    <row r="660" spans="18:18" ht="13.8">
      <c r="R660" s="10">
        <v>632</v>
      </c>
    </row>
    <row r="661" spans="18:18" ht="13.8">
      <c r="R661" s="10">
        <v>633</v>
      </c>
    </row>
    <row r="662" spans="18:18" ht="13.8">
      <c r="R662" s="10">
        <v>634</v>
      </c>
    </row>
    <row r="663" spans="18:18" ht="13.8">
      <c r="R663" s="10">
        <v>635</v>
      </c>
    </row>
    <row r="664" spans="18:18" ht="13.8">
      <c r="R664" s="10">
        <v>636</v>
      </c>
    </row>
    <row r="665" spans="18:18" ht="13.8">
      <c r="R665" s="10">
        <v>637</v>
      </c>
    </row>
    <row r="666" spans="18:18" ht="13.8">
      <c r="R666" s="10">
        <v>638</v>
      </c>
    </row>
    <row r="667" spans="18:18" ht="13.8">
      <c r="R667" s="10">
        <v>639</v>
      </c>
    </row>
    <row r="668" spans="18:18" ht="13.8">
      <c r="R668" s="10">
        <v>640</v>
      </c>
    </row>
    <row r="669" spans="18:18" ht="13.8">
      <c r="R669" s="10">
        <v>641</v>
      </c>
    </row>
    <row r="670" spans="18:18" ht="13.8">
      <c r="R670" s="10">
        <v>642</v>
      </c>
    </row>
    <row r="671" spans="18:18" ht="13.8">
      <c r="R671" s="10">
        <v>643</v>
      </c>
    </row>
    <row r="672" spans="18:18" ht="13.8">
      <c r="R672" s="10">
        <v>644</v>
      </c>
    </row>
    <row r="673" spans="18:18" ht="13.8">
      <c r="R673" s="10">
        <v>645</v>
      </c>
    </row>
    <row r="674" spans="18:18" ht="13.8">
      <c r="R674" s="10">
        <v>646</v>
      </c>
    </row>
    <row r="675" spans="18:18" ht="13.8">
      <c r="R675" s="10">
        <v>647</v>
      </c>
    </row>
    <row r="676" spans="18:18" ht="13.8">
      <c r="R676" s="10">
        <v>648</v>
      </c>
    </row>
    <row r="677" spans="18:18" ht="13.8">
      <c r="R677" s="10">
        <v>649</v>
      </c>
    </row>
    <row r="678" spans="18:18" ht="13.8">
      <c r="R678" s="10">
        <v>650</v>
      </c>
    </row>
    <row r="679" spans="18:18" ht="13.8">
      <c r="R679" s="10">
        <v>651</v>
      </c>
    </row>
    <row r="680" spans="18:18" ht="13.8">
      <c r="R680" s="10">
        <v>652</v>
      </c>
    </row>
    <row r="681" spans="18:18" ht="13.8">
      <c r="R681" s="10">
        <v>653</v>
      </c>
    </row>
    <row r="682" spans="18:18" ht="13.8">
      <c r="R682" s="10">
        <v>654</v>
      </c>
    </row>
    <row r="683" spans="18:18" ht="13.8">
      <c r="R683" s="10">
        <v>655</v>
      </c>
    </row>
    <row r="684" spans="18:18" ht="13.8">
      <c r="R684" s="10">
        <v>656</v>
      </c>
    </row>
    <row r="685" spans="18:18" ht="13.8">
      <c r="R685" s="10">
        <v>657</v>
      </c>
    </row>
    <row r="686" spans="18:18" ht="13.8">
      <c r="R686" s="10">
        <v>658</v>
      </c>
    </row>
    <row r="687" spans="18:18" ht="13.8">
      <c r="R687" s="10">
        <v>659</v>
      </c>
    </row>
    <row r="688" spans="18:18" ht="13.8">
      <c r="R688" s="10">
        <v>660</v>
      </c>
    </row>
    <row r="689" spans="18:18" ht="13.8">
      <c r="R689" s="10">
        <v>661</v>
      </c>
    </row>
    <row r="690" spans="18:18" ht="13.8">
      <c r="R690" s="10">
        <v>662</v>
      </c>
    </row>
    <row r="691" spans="18:18" ht="13.8">
      <c r="R691" s="10">
        <v>663</v>
      </c>
    </row>
    <row r="692" spans="18:18" ht="13.8">
      <c r="R692" s="10">
        <v>664</v>
      </c>
    </row>
    <row r="693" spans="18:18" ht="13.8">
      <c r="R693" s="10">
        <v>665</v>
      </c>
    </row>
    <row r="694" spans="18:18" ht="13.8">
      <c r="R694" s="10">
        <v>666</v>
      </c>
    </row>
    <row r="695" spans="18:18" ht="13.8">
      <c r="R695" s="10">
        <v>667</v>
      </c>
    </row>
    <row r="696" spans="18:18" ht="13.8">
      <c r="R696" s="10">
        <v>668</v>
      </c>
    </row>
    <row r="697" spans="18:18" ht="13.8">
      <c r="R697" s="10">
        <v>669</v>
      </c>
    </row>
    <row r="698" spans="18:18" ht="13.8">
      <c r="R698" s="10">
        <v>670</v>
      </c>
    </row>
    <row r="699" spans="18:18" ht="13.8">
      <c r="R699" s="10">
        <v>671</v>
      </c>
    </row>
    <row r="700" spans="18:18" ht="13.8">
      <c r="R700" s="10">
        <v>672</v>
      </c>
    </row>
    <row r="701" spans="18:18" ht="13.8">
      <c r="R701" s="10">
        <v>673</v>
      </c>
    </row>
    <row r="702" spans="18:18" ht="13.8">
      <c r="R702" s="10">
        <v>674</v>
      </c>
    </row>
    <row r="703" spans="18:18" ht="13.8">
      <c r="R703" s="10">
        <v>675</v>
      </c>
    </row>
    <row r="704" spans="18:18" ht="13.8">
      <c r="R704" s="10">
        <v>676</v>
      </c>
    </row>
    <row r="705" spans="18:18" ht="13.8">
      <c r="R705" s="10">
        <v>677</v>
      </c>
    </row>
    <row r="706" spans="18:18" ht="13.8">
      <c r="R706" s="10">
        <v>678</v>
      </c>
    </row>
    <row r="707" spans="18:18" ht="13.8">
      <c r="R707" s="10">
        <v>679</v>
      </c>
    </row>
    <row r="708" spans="18:18" ht="13.8">
      <c r="R708" s="10">
        <v>680</v>
      </c>
    </row>
    <row r="709" spans="18:18" ht="13.8">
      <c r="R709" s="10">
        <v>681</v>
      </c>
    </row>
    <row r="710" spans="18:18" ht="13.8">
      <c r="R710" s="10">
        <v>682</v>
      </c>
    </row>
    <row r="711" spans="18:18" ht="13.8">
      <c r="R711" s="10">
        <v>683</v>
      </c>
    </row>
    <row r="712" spans="18:18" ht="13.8">
      <c r="R712" s="10">
        <v>684</v>
      </c>
    </row>
    <row r="713" spans="18:18" ht="13.8">
      <c r="R713" s="10">
        <v>685</v>
      </c>
    </row>
    <row r="714" spans="18:18" ht="13.8">
      <c r="R714" s="10">
        <v>686</v>
      </c>
    </row>
    <row r="715" spans="18:18" ht="13.8">
      <c r="R715" s="10">
        <v>687</v>
      </c>
    </row>
    <row r="716" spans="18:18" ht="13.8">
      <c r="R716" s="10">
        <v>688</v>
      </c>
    </row>
    <row r="717" spans="18:18" ht="13.8">
      <c r="R717" s="10">
        <v>689</v>
      </c>
    </row>
    <row r="718" spans="18:18" ht="13.8">
      <c r="R718" s="10">
        <v>690</v>
      </c>
    </row>
    <row r="719" spans="18:18" ht="13.8">
      <c r="R719" s="10">
        <v>691</v>
      </c>
    </row>
    <row r="720" spans="18:18" ht="13.8">
      <c r="R720" s="10">
        <v>692</v>
      </c>
    </row>
    <row r="721" spans="18:18" ht="13.8">
      <c r="R721" s="10">
        <v>693</v>
      </c>
    </row>
    <row r="722" spans="18:18" ht="13.8">
      <c r="R722" s="10">
        <v>694</v>
      </c>
    </row>
    <row r="723" spans="18:18" ht="13.8">
      <c r="R723" s="10">
        <v>695</v>
      </c>
    </row>
    <row r="724" spans="18:18" ht="13.8">
      <c r="R724" s="10">
        <v>696</v>
      </c>
    </row>
    <row r="725" spans="18:18" ht="13.8">
      <c r="R725" s="10">
        <v>697</v>
      </c>
    </row>
    <row r="726" spans="18:18" ht="13.8">
      <c r="R726" s="10">
        <v>698</v>
      </c>
    </row>
    <row r="727" spans="18:18" ht="13.8">
      <c r="R727" s="10">
        <v>699</v>
      </c>
    </row>
    <row r="728" spans="18:18" ht="13.8">
      <c r="R728" s="10">
        <v>700</v>
      </c>
    </row>
    <row r="729" spans="18:18" ht="13.8">
      <c r="R729" s="10">
        <v>701</v>
      </c>
    </row>
    <row r="730" spans="18:18" ht="13.8">
      <c r="R730" s="10">
        <v>702</v>
      </c>
    </row>
    <row r="731" spans="18:18" ht="13.8">
      <c r="R731" s="10">
        <v>703</v>
      </c>
    </row>
    <row r="732" spans="18:18" ht="13.8">
      <c r="R732" s="10">
        <v>704</v>
      </c>
    </row>
    <row r="733" spans="18:18" ht="13.8">
      <c r="R733" s="10">
        <v>705</v>
      </c>
    </row>
    <row r="734" spans="18:18" ht="13.8">
      <c r="R734" s="10">
        <v>706</v>
      </c>
    </row>
    <row r="735" spans="18:18" ht="13.8">
      <c r="R735" s="10">
        <v>707</v>
      </c>
    </row>
    <row r="736" spans="18:18" ht="13.8">
      <c r="R736" s="10">
        <v>708</v>
      </c>
    </row>
    <row r="737" spans="18:18" ht="13.8">
      <c r="R737" s="10">
        <v>709</v>
      </c>
    </row>
    <row r="738" spans="18:18" ht="13.8">
      <c r="R738" s="10">
        <v>710</v>
      </c>
    </row>
    <row r="739" spans="18:18" ht="13.8">
      <c r="R739" s="10">
        <v>711</v>
      </c>
    </row>
    <row r="740" spans="18:18" ht="13.8">
      <c r="R740" s="10">
        <v>712</v>
      </c>
    </row>
    <row r="741" spans="18:18" ht="13.8">
      <c r="R741" s="10">
        <v>713</v>
      </c>
    </row>
    <row r="742" spans="18:18" ht="13.8">
      <c r="R742" s="10">
        <v>714</v>
      </c>
    </row>
    <row r="743" spans="18:18" ht="13.8">
      <c r="R743" s="10">
        <v>715</v>
      </c>
    </row>
    <row r="744" spans="18:18" ht="13.8">
      <c r="R744" s="10">
        <v>716</v>
      </c>
    </row>
    <row r="745" spans="18:18" ht="13.8">
      <c r="R745" s="10">
        <v>717</v>
      </c>
    </row>
    <row r="746" spans="18:18" ht="13.8">
      <c r="R746" s="10">
        <v>718</v>
      </c>
    </row>
    <row r="747" spans="18:18" ht="13.8">
      <c r="R747" s="10">
        <v>719</v>
      </c>
    </row>
    <row r="748" spans="18:18" ht="13.8">
      <c r="R748" s="10">
        <v>720</v>
      </c>
    </row>
    <row r="749" spans="18:18" ht="13.8">
      <c r="R749" s="10">
        <v>721</v>
      </c>
    </row>
    <row r="750" spans="18:18" ht="13.8">
      <c r="R750" s="10">
        <v>722</v>
      </c>
    </row>
    <row r="751" spans="18:18" ht="13.8">
      <c r="R751" s="10">
        <v>723</v>
      </c>
    </row>
    <row r="752" spans="18:18" ht="13.8">
      <c r="R752" s="10">
        <v>724</v>
      </c>
    </row>
    <row r="753" spans="18:18" ht="13.8">
      <c r="R753" s="10">
        <v>725</v>
      </c>
    </row>
    <row r="754" spans="18:18" ht="13.8">
      <c r="R754" s="10">
        <v>726</v>
      </c>
    </row>
    <row r="755" spans="18:18" ht="13.8">
      <c r="R755" s="10">
        <v>727</v>
      </c>
    </row>
    <row r="756" spans="18:18" ht="13.8">
      <c r="R756" s="10">
        <v>728</v>
      </c>
    </row>
    <row r="757" spans="18:18" ht="13.8">
      <c r="R757" s="10">
        <v>729</v>
      </c>
    </row>
    <row r="758" spans="18:18" ht="13.8">
      <c r="R758" s="10">
        <v>730</v>
      </c>
    </row>
    <row r="759" spans="18:18" ht="13.8">
      <c r="R759" s="10">
        <v>731</v>
      </c>
    </row>
    <row r="760" spans="18:18" ht="13.8">
      <c r="R760" s="10">
        <v>732</v>
      </c>
    </row>
    <row r="761" spans="18:18" ht="13.8">
      <c r="R761" s="10">
        <v>733</v>
      </c>
    </row>
    <row r="762" spans="18:18" ht="13.8">
      <c r="R762" s="10">
        <v>734</v>
      </c>
    </row>
    <row r="763" spans="18:18" ht="13.8">
      <c r="R763" s="10">
        <v>735</v>
      </c>
    </row>
    <row r="764" spans="18:18" ht="13.8">
      <c r="R764" s="10">
        <v>736</v>
      </c>
    </row>
    <row r="765" spans="18:18" ht="13.8">
      <c r="R765" s="10">
        <v>737</v>
      </c>
    </row>
    <row r="766" spans="18:18" ht="13.8">
      <c r="R766" s="10">
        <v>738</v>
      </c>
    </row>
    <row r="767" spans="18:18" ht="13.8">
      <c r="R767" s="10">
        <v>739</v>
      </c>
    </row>
    <row r="768" spans="18:18" ht="13.8">
      <c r="R768" s="10">
        <v>740</v>
      </c>
    </row>
    <row r="769" spans="18:18" ht="13.8">
      <c r="R769" s="10">
        <v>741</v>
      </c>
    </row>
    <row r="770" spans="18:18" ht="13.8">
      <c r="R770" s="10">
        <v>742</v>
      </c>
    </row>
    <row r="771" spans="18:18" ht="13.8">
      <c r="R771" s="10">
        <v>743</v>
      </c>
    </row>
    <row r="772" spans="18:18" ht="13.8">
      <c r="R772" s="10">
        <v>744</v>
      </c>
    </row>
    <row r="773" spans="18:18" ht="13.8">
      <c r="R773" s="10">
        <v>745</v>
      </c>
    </row>
    <row r="774" spans="18:18" ht="13.8">
      <c r="R774" s="10">
        <v>746</v>
      </c>
    </row>
    <row r="775" spans="18:18" ht="13.8">
      <c r="R775" s="10">
        <v>747</v>
      </c>
    </row>
    <row r="776" spans="18:18" ht="13.8">
      <c r="R776" s="10">
        <v>748</v>
      </c>
    </row>
    <row r="777" spans="18:18" ht="13.8">
      <c r="R777" s="10">
        <v>749</v>
      </c>
    </row>
    <row r="778" spans="18:18" ht="13.8">
      <c r="R778" s="10">
        <v>750</v>
      </c>
    </row>
    <row r="779" spans="18:18" ht="13.8">
      <c r="R779" s="10">
        <v>751</v>
      </c>
    </row>
    <row r="780" spans="18:18" ht="13.8">
      <c r="R780" s="10">
        <v>752</v>
      </c>
    </row>
    <row r="781" spans="18:18" ht="13.8">
      <c r="R781" s="10">
        <v>753</v>
      </c>
    </row>
    <row r="782" spans="18:18" ht="13.8">
      <c r="R782" s="10">
        <v>754</v>
      </c>
    </row>
    <row r="783" spans="18:18" ht="13.8">
      <c r="R783" s="10">
        <v>755</v>
      </c>
    </row>
    <row r="784" spans="18:18" ht="13.8">
      <c r="R784" s="10">
        <v>756</v>
      </c>
    </row>
    <row r="785" spans="18:18" ht="13.8">
      <c r="R785" s="10">
        <v>757</v>
      </c>
    </row>
    <row r="786" spans="18:18" ht="13.8">
      <c r="R786" s="10">
        <v>758</v>
      </c>
    </row>
    <row r="787" spans="18:18" ht="13.8">
      <c r="R787" s="10">
        <v>759</v>
      </c>
    </row>
    <row r="788" spans="18:18" ht="13.8">
      <c r="R788" s="10">
        <v>760</v>
      </c>
    </row>
    <row r="789" spans="18:18" ht="13.8">
      <c r="R789" s="10">
        <v>761</v>
      </c>
    </row>
    <row r="790" spans="18:18" ht="13.8">
      <c r="R790" s="10">
        <v>762</v>
      </c>
    </row>
    <row r="791" spans="18:18" ht="13.8">
      <c r="R791" s="10">
        <v>763</v>
      </c>
    </row>
    <row r="792" spans="18:18" ht="13.8">
      <c r="R792" s="10">
        <v>764</v>
      </c>
    </row>
    <row r="793" spans="18:18" ht="13.8">
      <c r="R793" s="10">
        <v>765</v>
      </c>
    </row>
    <row r="794" spans="18:18" ht="13.8">
      <c r="R794" s="10">
        <v>766</v>
      </c>
    </row>
    <row r="795" spans="18:18" ht="13.8">
      <c r="R795" s="10">
        <v>767</v>
      </c>
    </row>
    <row r="796" spans="18:18" ht="13.8">
      <c r="R796" s="10">
        <v>768</v>
      </c>
    </row>
    <row r="797" spans="18:18" ht="13.8">
      <c r="R797" s="10">
        <v>769</v>
      </c>
    </row>
    <row r="798" spans="18:18" ht="13.8">
      <c r="R798" s="10">
        <v>770</v>
      </c>
    </row>
    <row r="799" spans="18:18" ht="13.8">
      <c r="R799" s="10">
        <v>771</v>
      </c>
    </row>
    <row r="800" spans="18:18" ht="13.8">
      <c r="R800" s="10">
        <v>772</v>
      </c>
    </row>
    <row r="801" spans="18:18" ht="13.8">
      <c r="R801" s="10">
        <v>773</v>
      </c>
    </row>
    <row r="802" spans="18:18" ht="13.8">
      <c r="R802" s="10">
        <v>774</v>
      </c>
    </row>
    <row r="803" spans="18:18" ht="13.8">
      <c r="R803" s="10">
        <v>775</v>
      </c>
    </row>
    <row r="804" spans="18:18" ht="13.8">
      <c r="R804" s="10">
        <v>776</v>
      </c>
    </row>
    <row r="805" spans="18:18" ht="13.8">
      <c r="R805" s="10">
        <v>777</v>
      </c>
    </row>
    <row r="806" spans="18:18" ht="13.8">
      <c r="R806" s="10">
        <v>778</v>
      </c>
    </row>
    <row r="807" spans="18:18" ht="13.8">
      <c r="R807" s="10">
        <v>779</v>
      </c>
    </row>
    <row r="808" spans="18:18" ht="13.8">
      <c r="R808" s="10">
        <v>780</v>
      </c>
    </row>
    <row r="809" spans="18:18" ht="13.8">
      <c r="R809" s="10">
        <v>781</v>
      </c>
    </row>
    <row r="810" spans="18:18" ht="13.8">
      <c r="R810" s="10">
        <v>782</v>
      </c>
    </row>
    <row r="811" spans="18:18" ht="13.8">
      <c r="R811" s="10">
        <v>783</v>
      </c>
    </row>
    <row r="812" spans="18:18" ht="13.8">
      <c r="R812" s="10">
        <v>784</v>
      </c>
    </row>
    <row r="813" spans="18:18" ht="13.8">
      <c r="R813" s="10">
        <v>785</v>
      </c>
    </row>
    <row r="814" spans="18:18" ht="13.8">
      <c r="R814" s="10">
        <v>786</v>
      </c>
    </row>
    <row r="815" spans="18:18" ht="13.8">
      <c r="R815" s="10">
        <v>787</v>
      </c>
    </row>
    <row r="816" spans="18:18" ht="13.8">
      <c r="R816" s="10">
        <v>788</v>
      </c>
    </row>
    <row r="817" spans="18:18" ht="13.8">
      <c r="R817" s="10">
        <v>789</v>
      </c>
    </row>
    <row r="818" spans="18:18" ht="13.8">
      <c r="R818" s="10">
        <v>790</v>
      </c>
    </row>
    <row r="819" spans="18:18" ht="13.8">
      <c r="R819" s="10">
        <v>791</v>
      </c>
    </row>
    <row r="820" spans="18:18" ht="13.8">
      <c r="R820" s="10">
        <v>792</v>
      </c>
    </row>
    <row r="821" spans="18:18" ht="13.8">
      <c r="R821" s="10">
        <v>793</v>
      </c>
    </row>
    <row r="822" spans="18:18" ht="13.8">
      <c r="R822" s="10">
        <v>794</v>
      </c>
    </row>
    <row r="823" spans="18:18" ht="13.8">
      <c r="R823" s="10">
        <v>795</v>
      </c>
    </row>
    <row r="824" spans="18:18" ht="13.8">
      <c r="R824" s="10">
        <v>796</v>
      </c>
    </row>
    <row r="825" spans="18:18" ht="13.8">
      <c r="R825" s="10">
        <v>797</v>
      </c>
    </row>
    <row r="826" spans="18:18" ht="13.8">
      <c r="R826" s="10">
        <v>798</v>
      </c>
    </row>
    <row r="827" spans="18:18" ht="13.8">
      <c r="R827" s="10">
        <v>799</v>
      </c>
    </row>
    <row r="828" spans="18:18" ht="13.8">
      <c r="R828" s="10">
        <v>800</v>
      </c>
    </row>
    <row r="829" spans="18:18" ht="13.8">
      <c r="R829" s="10">
        <v>801</v>
      </c>
    </row>
    <row r="830" spans="18:18" ht="13.8">
      <c r="R830" s="10">
        <v>802</v>
      </c>
    </row>
    <row r="831" spans="18:18" ht="13.8">
      <c r="R831" s="10">
        <v>803</v>
      </c>
    </row>
    <row r="832" spans="18:18" ht="13.8">
      <c r="R832" s="10">
        <v>804</v>
      </c>
    </row>
    <row r="833" spans="18:18" ht="13.8">
      <c r="R833" s="10">
        <v>805</v>
      </c>
    </row>
    <row r="834" spans="18:18" ht="13.8">
      <c r="R834" s="10">
        <v>806</v>
      </c>
    </row>
    <row r="835" spans="18:18" ht="13.8">
      <c r="R835" s="10">
        <v>807</v>
      </c>
    </row>
    <row r="836" spans="18:18" ht="13.8">
      <c r="R836" s="10">
        <v>808</v>
      </c>
    </row>
    <row r="837" spans="18:18" ht="13.8">
      <c r="R837" s="10">
        <v>809</v>
      </c>
    </row>
    <row r="838" spans="18:18" ht="13.8">
      <c r="R838" s="10">
        <v>810</v>
      </c>
    </row>
    <row r="839" spans="18:18" ht="13.8">
      <c r="R839" s="10">
        <v>811</v>
      </c>
    </row>
    <row r="840" spans="18:18" ht="13.8">
      <c r="R840" s="10">
        <v>812</v>
      </c>
    </row>
    <row r="841" spans="18:18" ht="13.8">
      <c r="R841" s="10">
        <v>813</v>
      </c>
    </row>
    <row r="842" spans="18:18" ht="13.8">
      <c r="R842" s="10">
        <v>814</v>
      </c>
    </row>
    <row r="843" spans="18:18" ht="13.8">
      <c r="R843" s="10">
        <v>815</v>
      </c>
    </row>
    <row r="844" spans="18:18" ht="13.8">
      <c r="R844" s="10">
        <v>816</v>
      </c>
    </row>
    <row r="845" spans="18:18" ht="13.8">
      <c r="R845" s="10">
        <v>817</v>
      </c>
    </row>
    <row r="846" spans="18:18" ht="13.8">
      <c r="R846" s="10">
        <v>818</v>
      </c>
    </row>
    <row r="847" spans="18:18" ht="13.8">
      <c r="R847" s="10">
        <v>819</v>
      </c>
    </row>
    <row r="848" spans="18:18" ht="13.8">
      <c r="R848" s="10">
        <v>820</v>
      </c>
    </row>
    <row r="849" spans="18:18" ht="13.8">
      <c r="R849" s="10">
        <v>821</v>
      </c>
    </row>
    <row r="850" spans="18:18" ht="13.8">
      <c r="R850" s="10">
        <v>822</v>
      </c>
    </row>
    <row r="851" spans="18:18" ht="13.8">
      <c r="R851" s="10">
        <v>823</v>
      </c>
    </row>
    <row r="852" spans="18:18" ht="13.8">
      <c r="R852" s="10">
        <v>824</v>
      </c>
    </row>
    <row r="853" spans="18:18" ht="13.8">
      <c r="R853" s="10">
        <v>825</v>
      </c>
    </row>
    <row r="854" spans="18:18" ht="13.8">
      <c r="R854" s="10">
        <v>826</v>
      </c>
    </row>
    <row r="855" spans="18:18" ht="13.8">
      <c r="R855" s="10">
        <v>827</v>
      </c>
    </row>
    <row r="856" spans="18:18" ht="13.8">
      <c r="R856" s="10">
        <v>828</v>
      </c>
    </row>
    <row r="857" spans="18:18" ht="13.8">
      <c r="R857" s="10">
        <v>829</v>
      </c>
    </row>
    <row r="858" spans="18:18" ht="13.8">
      <c r="R858" s="10">
        <v>830</v>
      </c>
    </row>
    <row r="859" spans="18:18" ht="13.8">
      <c r="R859" s="10">
        <v>831</v>
      </c>
    </row>
    <row r="860" spans="18:18" ht="13.8">
      <c r="R860" s="10">
        <v>832</v>
      </c>
    </row>
    <row r="861" spans="18:18" ht="13.8">
      <c r="R861" s="10">
        <v>833</v>
      </c>
    </row>
    <row r="862" spans="18:18" ht="13.8">
      <c r="R862" s="10">
        <v>834</v>
      </c>
    </row>
    <row r="863" spans="18:18" ht="13.8">
      <c r="R863" s="10">
        <v>835</v>
      </c>
    </row>
    <row r="864" spans="18:18" ht="13.8">
      <c r="R864" s="10">
        <v>836</v>
      </c>
    </row>
    <row r="865" spans="18:18" ht="13.8">
      <c r="R865" s="10">
        <v>837</v>
      </c>
    </row>
    <row r="866" spans="18:18" ht="13.8">
      <c r="R866" s="10">
        <v>838</v>
      </c>
    </row>
    <row r="867" spans="18:18" ht="13.8">
      <c r="R867" s="10">
        <v>839</v>
      </c>
    </row>
    <row r="868" spans="18:18" ht="13.8">
      <c r="R868" s="10">
        <v>840</v>
      </c>
    </row>
    <row r="869" spans="18:18" ht="13.8">
      <c r="R869" s="10">
        <v>841</v>
      </c>
    </row>
    <row r="870" spans="18:18" ht="13.8">
      <c r="R870" s="10">
        <v>842</v>
      </c>
    </row>
    <row r="871" spans="18:18" ht="13.8">
      <c r="R871" s="10">
        <v>843</v>
      </c>
    </row>
    <row r="872" spans="18:18" ht="13.8">
      <c r="R872" s="10">
        <v>844</v>
      </c>
    </row>
    <row r="873" spans="18:18" ht="13.8">
      <c r="R873" s="10">
        <v>845</v>
      </c>
    </row>
    <row r="874" spans="18:18" ht="13.8">
      <c r="R874" s="10">
        <v>846</v>
      </c>
    </row>
    <row r="875" spans="18:18" ht="13.8">
      <c r="R875" s="10">
        <v>847</v>
      </c>
    </row>
    <row r="876" spans="18:18" ht="13.8">
      <c r="R876" s="10">
        <v>848</v>
      </c>
    </row>
    <row r="877" spans="18:18" ht="13.8">
      <c r="R877" s="10">
        <v>849</v>
      </c>
    </row>
    <row r="878" spans="18:18" ht="13.8">
      <c r="R878" s="10">
        <v>850</v>
      </c>
    </row>
    <row r="879" spans="18:18" ht="13.8">
      <c r="R879" s="10">
        <v>851</v>
      </c>
    </row>
    <row r="880" spans="18:18" ht="13.8">
      <c r="R880" s="10">
        <v>852</v>
      </c>
    </row>
    <row r="881" spans="18:18" ht="13.8">
      <c r="R881" s="10">
        <v>853</v>
      </c>
    </row>
    <row r="882" spans="18:18" ht="13.8">
      <c r="R882" s="10">
        <v>854</v>
      </c>
    </row>
    <row r="883" spans="18:18" ht="13.8">
      <c r="R883" s="10">
        <v>855</v>
      </c>
    </row>
    <row r="884" spans="18:18" ht="13.8">
      <c r="R884" s="10">
        <v>856</v>
      </c>
    </row>
    <row r="885" spans="18:18" ht="13.8">
      <c r="R885" s="10">
        <v>857</v>
      </c>
    </row>
    <row r="886" spans="18:18" ht="13.8">
      <c r="R886" s="10">
        <v>858</v>
      </c>
    </row>
    <row r="887" spans="18:18" ht="13.8">
      <c r="R887" s="10">
        <v>859</v>
      </c>
    </row>
    <row r="888" spans="18:18" ht="13.8">
      <c r="R888" s="10">
        <v>860</v>
      </c>
    </row>
    <row r="889" spans="18:18" ht="13.8">
      <c r="R889" s="10">
        <v>861</v>
      </c>
    </row>
    <row r="890" spans="18:18" ht="13.8">
      <c r="R890" s="10">
        <v>862</v>
      </c>
    </row>
    <row r="891" spans="18:18" ht="13.8">
      <c r="R891" s="10">
        <v>863</v>
      </c>
    </row>
    <row r="892" spans="18:18" ht="13.8">
      <c r="R892" s="10">
        <v>864</v>
      </c>
    </row>
    <row r="893" spans="18:18" ht="13.8">
      <c r="R893" s="10">
        <v>865</v>
      </c>
    </row>
    <row r="894" spans="18:18" ht="13.8">
      <c r="R894" s="10">
        <v>866</v>
      </c>
    </row>
    <row r="895" spans="18:18" ht="13.8">
      <c r="R895" s="10">
        <v>867</v>
      </c>
    </row>
    <row r="896" spans="18:18" ht="13.8">
      <c r="R896" s="10">
        <v>868</v>
      </c>
    </row>
    <row r="897" spans="18:18" ht="13.8">
      <c r="R897" s="10">
        <v>869</v>
      </c>
    </row>
    <row r="898" spans="18:18" ht="13.8">
      <c r="R898" s="10">
        <v>870</v>
      </c>
    </row>
    <row r="899" spans="18:18" ht="13.8">
      <c r="R899" s="10">
        <v>871</v>
      </c>
    </row>
    <row r="900" spans="18:18" ht="13.8">
      <c r="R900" s="10">
        <v>872</v>
      </c>
    </row>
    <row r="901" spans="18:18" ht="13.8">
      <c r="R901" s="10">
        <v>873</v>
      </c>
    </row>
    <row r="902" spans="18:18" ht="13.8">
      <c r="R902" s="10">
        <v>874</v>
      </c>
    </row>
    <row r="903" spans="18:18" ht="13.8">
      <c r="R903" s="10">
        <v>875</v>
      </c>
    </row>
    <row r="904" spans="18:18" ht="13.8">
      <c r="R904" s="10">
        <v>876</v>
      </c>
    </row>
    <row r="905" spans="18:18" ht="13.8">
      <c r="R905" s="10">
        <v>877</v>
      </c>
    </row>
    <row r="906" spans="18:18" ht="13.8">
      <c r="R906" s="10">
        <v>878</v>
      </c>
    </row>
    <row r="907" spans="18:18" ht="13.8">
      <c r="R907" s="10">
        <v>879</v>
      </c>
    </row>
    <row r="908" spans="18:18" ht="13.8">
      <c r="R908" s="10">
        <v>880</v>
      </c>
    </row>
    <row r="909" spans="18:18" ht="13.8">
      <c r="R909" s="10">
        <v>881</v>
      </c>
    </row>
    <row r="910" spans="18:18" ht="13.8">
      <c r="R910" s="10">
        <v>882</v>
      </c>
    </row>
    <row r="911" spans="18:18" ht="13.8">
      <c r="R911" s="10">
        <v>883</v>
      </c>
    </row>
    <row r="912" spans="18:18" ht="13.8">
      <c r="R912" s="10">
        <v>884</v>
      </c>
    </row>
    <row r="913" spans="18:18" ht="13.8">
      <c r="R913" s="10">
        <v>885</v>
      </c>
    </row>
    <row r="914" spans="18:18" ht="13.8">
      <c r="R914" s="10">
        <v>886</v>
      </c>
    </row>
    <row r="915" spans="18:18" ht="13.8">
      <c r="R915" s="10">
        <v>887</v>
      </c>
    </row>
    <row r="916" spans="18:18" ht="13.8">
      <c r="R916" s="10">
        <v>888</v>
      </c>
    </row>
    <row r="917" spans="18:18" ht="13.8">
      <c r="R917" s="10">
        <v>889</v>
      </c>
    </row>
    <row r="918" spans="18:18" ht="13.8">
      <c r="R918" s="10">
        <v>890</v>
      </c>
    </row>
    <row r="919" spans="18:18" ht="13.8">
      <c r="R919" s="10">
        <v>891</v>
      </c>
    </row>
    <row r="920" spans="18:18" ht="13.8">
      <c r="R920" s="10">
        <v>892</v>
      </c>
    </row>
    <row r="921" spans="18:18" ht="13.8">
      <c r="R921" s="10">
        <v>893</v>
      </c>
    </row>
    <row r="922" spans="18:18" ht="13.8">
      <c r="R922" s="10">
        <v>894</v>
      </c>
    </row>
    <row r="923" spans="18:18" ht="13.8">
      <c r="R923" s="10">
        <v>895</v>
      </c>
    </row>
    <row r="924" spans="18:18" ht="13.8">
      <c r="R924" s="10">
        <v>896</v>
      </c>
    </row>
    <row r="925" spans="18:18" ht="13.8">
      <c r="R925" s="10">
        <v>897</v>
      </c>
    </row>
    <row r="926" spans="18:18" ht="13.8">
      <c r="R926" s="10">
        <v>898</v>
      </c>
    </row>
    <row r="927" spans="18:18" ht="13.8">
      <c r="R927" s="10">
        <v>899</v>
      </c>
    </row>
    <row r="928" spans="18:18" ht="13.8">
      <c r="R928" s="10">
        <v>900</v>
      </c>
    </row>
    <row r="929" spans="18:18" ht="13.8">
      <c r="R929" s="10">
        <v>901</v>
      </c>
    </row>
    <row r="930" spans="18:18" ht="13.8">
      <c r="R930" s="10">
        <v>902</v>
      </c>
    </row>
    <row r="931" spans="18:18" ht="13.8">
      <c r="R931" s="10">
        <v>903</v>
      </c>
    </row>
    <row r="932" spans="18:18" ht="13.8">
      <c r="R932" s="10">
        <v>904</v>
      </c>
    </row>
    <row r="933" spans="18:18" ht="13.8">
      <c r="R933" s="10">
        <v>905</v>
      </c>
    </row>
    <row r="934" spans="18:18" ht="13.8">
      <c r="R934" s="10">
        <v>906</v>
      </c>
    </row>
    <row r="935" spans="18:18" ht="13.8">
      <c r="R935" s="10">
        <v>907</v>
      </c>
    </row>
    <row r="936" spans="18:18" ht="13.8">
      <c r="R936" s="10">
        <v>908</v>
      </c>
    </row>
    <row r="937" spans="18:18" ht="13.8">
      <c r="R937" s="10">
        <v>909</v>
      </c>
    </row>
    <row r="938" spans="18:18" ht="13.8">
      <c r="R938" s="10">
        <v>910</v>
      </c>
    </row>
    <row r="939" spans="18:18" ht="13.8">
      <c r="R939" s="10">
        <v>911</v>
      </c>
    </row>
    <row r="940" spans="18:18" ht="13.8">
      <c r="R940" s="10">
        <v>912</v>
      </c>
    </row>
    <row r="941" spans="18:18" ht="13.8">
      <c r="R941" s="10">
        <v>913</v>
      </c>
    </row>
    <row r="942" spans="18:18" ht="13.8">
      <c r="R942" s="10">
        <v>914</v>
      </c>
    </row>
    <row r="943" spans="18:18" ht="13.8">
      <c r="R943" s="10">
        <v>915</v>
      </c>
    </row>
    <row r="944" spans="18:18" ht="13.8">
      <c r="R944" s="10">
        <v>916</v>
      </c>
    </row>
    <row r="945" spans="18:18" ht="13.8">
      <c r="R945" s="10">
        <v>917</v>
      </c>
    </row>
    <row r="946" spans="18:18" ht="13.8">
      <c r="R946" s="10">
        <v>918</v>
      </c>
    </row>
    <row r="947" spans="18:18" ht="13.8">
      <c r="R947" s="10">
        <v>919</v>
      </c>
    </row>
    <row r="948" spans="18:18" ht="13.8">
      <c r="R948" s="10">
        <v>920</v>
      </c>
    </row>
    <row r="949" spans="18:18" ht="13.8">
      <c r="R949" s="10">
        <v>921</v>
      </c>
    </row>
    <row r="950" spans="18:18" ht="13.8">
      <c r="R950" s="10">
        <v>922</v>
      </c>
    </row>
    <row r="951" spans="18:18" ht="13.8">
      <c r="R951" s="10">
        <v>923</v>
      </c>
    </row>
    <row r="952" spans="18:18" ht="13.8">
      <c r="R952" s="10">
        <v>924</v>
      </c>
    </row>
    <row r="953" spans="18:18" ht="13.8">
      <c r="R953" s="10">
        <v>925</v>
      </c>
    </row>
    <row r="954" spans="18:18" ht="13.8">
      <c r="R954" s="10">
        <v>926</v>
      </c>
    </row>
    <row r="955" spans="18:18" ht="13.8">
      <c r="R955" s="10">
        <v>927</v>
      </c>
    </row>
    <row r="956" spans="18:18" ht="13.8">
      <c r="R956" s="10">
        <v>928</v>
      </c>
    </row>
    <row r="957" spans="18:18" ht="13.8">
      <c r="R957" s="10">
        <v>929</v>
      </c>
    </row>
    <row r="958" spans="18:18" ht="13.8">
      <c r="R958" s="10">
        <v>930</v>
      </c>
    </row>
    <row r="959" spans="18:18" ht="13.8">
      <c r="R959" s="10">
        <v>931</v>
      </c>
    </row>
    <row r="960" spans="18:18" ht="13.8">
      <c r="R960" s="10">
        <v>932</v>
      </c>
    </row>
    <row r="961" spans="18:18" ht="13.8">
      <c r="R961" s="10">
        <v>933</v>
      </c>
    </row>
    <row r="962" spans="18:18" ht="13.8">
      <c r="R962" s="10">
        <v>934</v>
      </c>
    </row>
    <row r="963" spans="18:18" ht="13.8">
      <c r="R963" s="10">
        <v>935</v>
      </c>
    </row>
    <row r="964" spans="18:18" ht="13.8">
      <c r="R964" s="10">
        <v>936</v>
      </c>
    </row>
    <row r="965" spans="18:18" ht="13.8">
      <c r="R965" s="10">
        <v>937</v>
      </c>
    </row>
    <row r="966" spans="18:18" ht="13.8">
      <c r="R966" s="10">
        <v>938</v>
      </c>
    </row>
    <row r="967" spans="18:18" ht="13.8">
      <c r="R967" s="10">
        <v>939</v>
      </c>
    </row>
    <row r="968" spans="18:18" ht="13.8">
      <c r="R968" s="10">
        <v>940</v>
      </c>
    </row>
    <row r="969" spans="18:18" ht="13.8">
      <c r="R969" s="10">
        <v>941</v>
      </c>
    </row>
    <row r="970" spans="18:18" ht="13.8">
      <c r="R970" s="10">
        <v>942</v>
      </c>
    </row>
    <row r="971" spans="18:18" ht="13.8">
      <c r="R971" s="10">
        <v>943</v>
      </c>
    </row>
    <row r="972" spans="18:18" ht="13.8">
      <c r="R972" s="10">
        <v>944</v>
      </c>
    </row>
    <row r="973" spans="18:18" ht="13.8">
      <c r="R973" s="10">
        <v>945</v>
      </c>
    </row>
    <row r="974" spans="18:18" ht="13.8">
      <c r="R974" s="10">
        <v>946</v>
      </c>
    </row>
    <row r="975" spans="18:18" ht="13.8">
      <c r="R975" s="10">
        <v>947</v>
      </c>
    </row>
    <row r="976" spans="18:18" ht="13.8">
      <c r="R976" s="10">
        <v>948</v>
      </c>
    </row>
    <row r="977" spans="18:18" ht="13.8">
      <c r="R977" s="10">
        <v>949</v>
      </c>
    </row>
    <row r="978" spans="18:18" ht="13.8">
      <c r="R978" s="10">
        <v>950</v>
      </c>
    </row>
    <row r="979" spans="18:18" ht="13.8">
      <c r="R979" s="10">
        <v>951</v>
      </c>
    </row>
    <row r="980" spans="18:18" ht="13.8">
      <c r="R980" s="10">
        <v>952</v>
      </c>
    </row>
    <row r="981" spans="18:18" ht="13.8">
      <c r="R981" s="10">
        <v>953</v>
      </c>
    </row>
    <row r="982" spans="18:18" ht="13.8">
      <c r="R982" s="10">
        <v>954</v>
      </c>
    </row>
    <row r="983" spans="18:18" ht="13.8">
      <c r="R983" s="10">
        <v>955</v>
      </c>
    </row>
    <row r="984" spans="18:18" ht="13.8">
      <c r="R984" s="10">
        <v>956</v>
      </c>
    </row>
    <row r="985" spans="18:18" ht="13.8">
      <c r="R985" s="10">
        <v>957</v>
      </c>
    </row>
    <row r="986" spans="18:18" ht="13.8">
      <c r="R986" s="10">
        <v>958</v>
      </c>
    </row>
    <row r="987" spans="18:18" ht="13.8">
      <c r="R987" s="10">
        <v>959</v>
      </c>
    </row>
    <row r="988" spans="18:18" ht="13.8">
      <c r="R988" s="10">
        <v>960</v>
      </c>
    </row>
    <row r="989" spans="18:18" ht="13.8">
      <c r="R989" s="10">
        <v>961</v>
      </c>
    </row>
    <row r="990" spans="18:18" ht="13.8">
      <c r="R990" s="10">
        <v>962</v>
      </c>
    </row>
    <row r="991" spans="18:18" ht="13.8">
      <c r="R991" s="10">
        <v>963</v>
      </c>
    </row>
    <row r="992" spans="18:18" ht="13.8">
      <c r="R992" s="10">
        <v>964</v>
      </c>
    </row>
    <row r="993" spans="18:18" ht="13.8">
      <c r="R993" s="10">
        <v>965</v>
      </c>
    </row>
    <row r="994" spans="18:18" ht="13.8">
      <c r="R994" s="10">
        <v>966</v>
      </c>
    </row>
    <row r="995" spans="18:18" ht="13.8">
      <c r="R995" s="10">
        <v>967</v>
      </c>
    </row>
    <row r="996" spans="18:18" ht="13.8">
      <c r="R996" s="10">
        <v>968</v>
      </c>
    </row>
    <row r="997" spans="18:18" ht="13.8">
      <c r="R997" s="10">
        <v>969</v>
      </c>
    </row>
    <row r="998" spans="18:18" ht="13.8">
      <c r="R998" s="10">
        <v>970</v>
      </c>
    </row>
    <row r="999" spans="18:18" ht="13.8">
      <c r="R999" s="10">
        <v>971</v>
      </c>
    </row>
    <row r="1000" spans="18:18" ht="13.8">
      <c r="R1000" s="10">
        <v>972</v>
      </c>
    </row>
    <row r="1001" spans="18:18" ht="13.8">
      <c r="R1001" s="10">
        <v>973</v>
      </c>
    </row>
    <row r="1002" spans="18:18" ht="13.8">
      <c r="R1002" s="10">
        <v>974</v>
      </c>
    </row>
    <row r="1003" spans="18:18" ht="13.8">
      <c r="R1003" s="10">
        <v>975</v>
      </c>
    </row>
    <row r="1004" spans="18:18" ht="13.8">
      <c r="R1004" s="10">
        <v>976</v>
      </c>
    </row>
    <row r="1005" spans="18:18" ht="13.8">
      <c r="R1005" s="10">
        <v>977</v>
      </c>
    </row>
    <row r="1006" spans="18:18" ht="13.8">
      <c r="R1006" s="10">
        <v>978</v>
      </c>
    </row>
    <row r="1007" spans="18:18" ht="13.8">
      <c r="R1007" s="10">
        <v>979</v>
      </c>
    </row>
    <row r="1008" spans="18:18" ht="13.8">
      <c r="R1008" s="10">
        <v>980</v>
      </c>
    </row>
    <row r="1009" spans="18:18" ht="13.8">
      <c r="R1009" s="10">
        <v>981</v>
      </c>
    </row>
    <row r="1010" spans="18:18" ht="13.8">
      <c r="R1010" s="10">
        <v>982</v>
      </c>
    </row>
    <row r="1011" spans="18:18" ht="13.8">
      <c r="R1011" s="10">
        <v>983</v>
      </c>
    </row>
    <row r="1012" spans="18:18" ht="13.8">
      <c r="R1012" s="10">
        <v>984</v>
      </c>
    </row>
    <row r="1013" spans="18:18" ht="13.8">
      <c r="R1013" s="10">
        <v>985</v>
      </c>
    </row>
    <row r="1014" spans="18:18" ht="13.8">
      <c r="R1014" s="10">
        <v>986</v>
      </c>
    </row>
    <row r="1015" spans="18:18" ht="13.8">
      <c r="R1015" s="10">
        <v>987</v>
      </c>
    </row>
    <row r="1016" spans="18:18" ht="13.8">
      <c r="R1016" s="10">
        <v>988</v>
      </c>
    </row>
    <row r="1017" spans="18:18" ht="13.8">
      <c r="R1017" s="10">
        <v>989</v>
      </c>
    </row>
    <row r="1018" spans="18:18" ht="13.8">
      <c r="R1018" s="10">
        <v>990</v>
      </c>
    </row>
    <row r="1019" spans="18:18" ht="13.8">
      <c r="R1019" s="10">
        <v>991</v>
      </c>
    </row>
    <row r="1020" spans="18:18" ht="13.8">
      <c r="R1020" s="10">
        <v>992</v>
      </c>
    </row>
    <row r="1021" spans="18:18" ht="13.8">
      <c r="R1021" s="10">
        <v>993</v>
      </c>
    </row>
    <row r="1022" spans="18:18" ht="13.8">
      <c r="R1022" s="10">
        <v>994</v>
      </c>
    </row>
    <row r="1023" spans="18:18" ht="13.8">
      <c r="R1023" s="10">
        <v>995</v>
      </c>
    </row>
    <row r="1024" spans="18:18" ht="13.8">
      <c r="R1024" s="10">
        <v>996</v>
      </c>
    </row>
    <row r="1025" spans="18:18" ht="13.8">
      <c r="R1025" s="10">
        <v>997</v>
      </c>
    </row>
    <row r="1026" spans="18:18" ht="13.8">
      <c r="R1026" s="10">
        <v>998</v>
      </c>
    </row>
    <row r="1027" spans="18:18" ht="13.8">
      <c r="R1027" s="10">
        <v>999</v>
      </c>
    </row>
    <row r="1028" spans="18:18" ht="13.8">
      <c r="R1028" s="10">
        <v>1000</v>
      </c>
    </row>
    <row r="1029" spans="18:18" ht="13.8">
      <c r="R1029" s="10">
        <v>1001</v>
      </c>
    </row>
    <row r="1030" spans="18:18" ht="13.8">
      <c r="R1030" s="10">
        <v>1002</v>
      </c>
    </row>
    <row r="1031" spans="18:18" ht="13.8">
      <c r="R1031" s="10">
        <v>1003</v>
      </c>
    </row>
    <row r="1032" spans="18:18" ht="13.8">
      <c r="R1032" s="10">
        <v>1004</v>
      </c>
    </row>
    <row r="1033" spans="18:18" ht="13.8">
      <c r="R1033" s="10">
        <v>1005</v>
      </c>
    </row>
    <row r="1034" spans="18:18" ht="13.8">
      <c r="R1034" s="10">
        <v>1006</v>
      </c>
    </row>
    <row r="1035" spans="18:18" ht="13.8">
      <c r="R1035" s="10">
        <v>1007</v>
      </c>
    </row>
    <row r="1036" spans="18:18" ht="13.8">
      <c r="R1036" s="10">
        <v>1008</v>
      </c>
    </row>
    <row r="1037" spans="18:18" ht="13.8">
      <c r="R1037" s="10">
        <v>1009</v>
      </c>
    </row>
    <row r="1038" spans="18:18" ht="13.8">
      <c r="R1038" s="10">
        <v>1010</v>
      </c>
    </row>
    <row r="1039" spans="18:18" ht="13.8">
      <c r="R1039" s="10">
        <v>1011</v>
      </c>
    </row>
    <row r="1040" spans="18:18" ht="13.8">
      <c r="R1040" s="10">
        <v>1012</v>
      </c>
    </row>
    <row r="1041" spans="18:18" ht="13.8">
      <c r="R1041" s="10">
        <v>1013</v>
      </c>
    </row>
    <row r="1042" spans="18:18" ht="13.8">
      <c r="R1042" s="10">
        <v>1014</v>
      </c>
    </row>
    <row r="1043" spans="18:18" ht="13.8">
      <c r="R1043" s="10">
        <v>1015</v>
      </c>
    </row>
    <row r="1044" spans="18:18" ht="13.8">
      <c r="R1044" s="10">
        <v>1016</v>
      </c>
    </row>
    <row r="1045" spans="18:18" ht="13.8">
      <c r="R1045" s="10">
        <v>1017</v>
      </c>
    </row>
    <row r="1046" spans="18:18" ht="13.8">
      <c r="R1046" s="10">
        <v>1018</v>
      </c>
    </row>
    <row r="1047" spans="18:18" ht="13.8">
      <c r="R1047" s="10">
        <v>1019</v>
      </c>
    </row>
    <row r="1048" spans="18:18" ht="13.8">
      <c r="R1048" s="10">
        <v>1020</v>
      </c>
    </row>
    <row r="1049" spans="18:18" ht="13.8">
      <c r="R1049" s="10">
        <v>1021</v>
      </c>
    </row>
    <row r="1050" spans="18:18" ht="13.8">
      <c r="R1050" s="10">
        <v>1022</v>
      </c>
    </row>
    <row r="1051" spans="18:18" ht="13.8">
      <c r="R1051" s="10">
        <v>1023</v>
      </c>
    </row>
    <row r="1052" spans="18:18" ht="13.8">
      <c r="R1052" s="10">
        <v>1024</v>
      </c>
    </row>
    <row r="1053" spans="18:18" ht="13.8">
      <c r="R1053" s="10">
        <v>1025</v>
      </c>
    </row>
    <row r="1054" spans="18:18" ht="13.8">
      <c r="R1054" s="10">
        <v>1026</v>
      </c>
    </row>
    <row r="1055" spans="18:18" ht="13.8">
      <c r="R1055" s="10">
        <v>1027</v>
      </c>
    </row>
    <row r="1056" spans="18:18" ht="13.8">
      <c r="R1056" s="10">
        <v>1028</v>
      </c>
    </row>
    <row r="1057" spans="18:18" ht="13.8">
      <c r="R1057" s="10">
        <v>1029</v>
      </c>
    </row>
    <row r="1058" spans="18:18" ht="13.8">
      <c r="R1058" s="10">
        <v>1030</v>
      </c>
    </row>
    <row r="1059" spans="18:18" ht="13.8">
      <c r="R1059" s="10">
        <v>1031</v>
      </c>
    </row>
    <row r="1060" spans="18:18" ht="13.8">
      <c r="R1060" s="10">
        <v>1032</v>
      </c>
    </row>
    <row r="1061" spans="18:18" ht="13.8">
      <c r="R1061" s="10">
        <v>1033</v>
      </c>
    </row>
    <row r="1062" spans="18:18" ht="13.8">
      <c r="R1062" s="10">
        <v>1034</v>
      </c>
    </row>
    <row r="1063" spans="18:18" ht="13.8">
      <c r="R1063" s="10">
        <v>1035</v>
      </c>
    </row>
    <row r="1064" spans="18:18" ht="13.8">
      <c r="R1064" s="10">
        <v>1036</v>
      </c>
    </row>
    <row r="1065" spans="18:18" ht="13.8">
      <c r="R1065" s="10">
        <v>1037</v>
      </c>
    </row>
    <row r="1066" spans="18:18" ht="13.8">
      <c r="R1066" s="10">
        <v>1038</v>
      </c>
    </row>
    <row r="1067" spans="18:18" ht="13.8">
      <c r="R1067" s="10">
        <v>1039</v>
      </c>
    </row>
    <row r="1068" spans="18:18" ht="13.8">
      <c r="R1068" s="10">
        <v>1040</v>
      </c>
    </row>
    <row r="1069" spans="18:18" ht="13.8">
      <c r="R1069" s="10">
        <v>1041</v>
      </c>
    </row>
    <row r="1070" spans="18:18" ht="13.8">
      <c r="R1070" s="10">
        <v>1042</v>
      </c>
    </row>
    <row r="1071" spans="18:18" ht="13.8">
      <c r="R1071" s="10">
        <v>1043</v>
      </c>
    </row>
    <row r="1072" spans="18:18" ht="13.8">
      <c r="R1072" s="10">
        <v>1044</v>
      </c>
    </row>
    <row r="1073" spans="18:18" ht="13.8">
      <c r="R1073" s="10">
        <v>1045</v>
      </c>
    </row>
    <row r="1074" spans="18:18" ht="13.8">
      <c r="R1074" s="10">
        <v>1046</v>
      </c>
    </row>
    <row r="1075" spans="18:18" ht="13.8">
      <c r="R1075" s="10">
        <v>1047</v>
      </c>
    </row>
    <row r="1076" spans="18:18" ht="13.8">
      <c r="R1076" s="10">
        <v>1048</v>
      </c>
    </row>
    <row r="1077" spans="18:18" ht="13.8">
      <c r="R1077" s="10">
        <v>1049</v>
      </c>
    </row>
    <row r="1078" spans="18:18" ht="13.8">
      <c r="R1078" s="10">
        <v>1050</v>
      </c>
    </row>
    <row r="1079" spans="18:18" ht="13.8">
      <c r="R1079" s="10">
        <v>1051</v>
      </c>
    </row>
    <row r="1080" spans="18:18" ht="13.8">
      <c r="R1080" s="10">
        <v>1052</v>
      </c>
    </row>
    <row r="1081" spans="18:18" ht="13.8">
      <c r="R1081" s="10">
        <v>1053</v>
      </c>
    </row>
    <row r="1082" spans="18:18" ht="13.8">
      <c r="R1082" s="10">
        <v>1054</v>
      </c>
    </row>
    <row r="1083" spans="18:18" ht="13.8">
      <c r="R1083" s="10">
        <v>1055</v>
      </c>
    </row>
    <row r="1084" spans="18:18" ht="13.8">
      <c r="R1084" s="10">
        <v>1056</v>
      </c>
    </row>
    <row r="1085" spans="18:18" ht="13.8">
      <c r="R1085" s="10">
        <v>1057</v>
      </c>
    </row>
    <row r="1086" spans="18:18" ht="13.8">
      <c r="R1086" s="10">
        <v>1058</v>
      </c>
    </row>
    <row r="1087" spans="18:18" ht="13.8">
      <c r="R1087" s="10">
        <v>1059</v>
      </c>
    </row>
    <row r="1088" spans="18:18" ht="13.8">
      <c r="R1088" s="10">
        <v>1060</v>
      </c>
    </row>
    <row r="1089" spans="18:18" ht="13.8">
      <c r="R1089" s="10">
        <v>1061</v>
      </c>
    </row>
    <row r="1090" spans="18:18" ht="13.8">
      <c r="R1090" s="10">
        <v>1062</v>
      </c>
    </row>
    <row r="1091" spans="18:18" ht="13.8">
      <c r="R1091" s="10">
        <v>1063</v>
      </c>
    </row>
    <row r="1092" spans="18:18" ht="13.8">
      <c r="R1092" s="10">
        <v>1064</v>
      </c>
    </row>
    <row r="1093" spans="18:18" ht="13.8">
      <c r="R1093" s="10">
        <v>1065</v>
      </c>
    </row>
    <row r="1094" spans="18:18" ht="13.8">
      <c r="R1094" s="10">
        <v>1066</v>
      </c>
    </row>
    <row r="1095" spans="18:18" ht="13.8">
      <c r="R1095" s="10">
        <v>1067</v>
      </c>
    </row>
    <row r="1096" spans="18:18" ht="13.8">
      <c r="R1096" s="10">
        <v>1068</v>
      </c>
    </row>
    <row r="1097" spans="18:18" ht="13.8">
      <c r="R1097" s="10">
        <v>1069</v>
      </c>
    </row>
    <row r="1098" spans="18:18" ht="13.8">
      <c r="R1098" s="10">
        <v>1070</v>
      </c>
    </row>
    <row r="1099" spans="18:18" ht="13.8">
      <c r="R1099" s="10">
        <v>1071</v>
      </c>
    </row>
    <row r="1100" spans="18:18" ht="13.8">
      <c r="R1100" s="10">
        <v>1072</v>
      </c>
    </row>
    <row r="1101" spans="18:18" ht="13.8">
      <c r="R1101" s="10">
        <v>1073</v>
      </c>
    </row>
    <row r="1102" spans="18:18" ht="13.8">
      <c r="R1102" s="10">
        <v>1074</v>
      </c>
    </row>
    <row r="1103" spans="18:18" ht="13.8">
      <c r="R1103" s="10">
        <v>1075</v>
      </c>
    </row>
    <row r="1104" spans="18:18" ht="13.8">
      <c r="R1104" s="10">
        <v>1076</v>
      </c>
    </row>
    <row r="1105" spans="18:18" ht="13.8">
      <c r="R1105" s="10">
        <v>1077</v>
      </c>
    </row>
    <row r="1106" spans="18:18" ht="13.8">
      <c r="R1106" s="10">
        <v>1078</v>
      </c>
    </row>
    <row r="1107" spans="18:18" ht="13.8">
      <c r="R1107" s="10">
        <v>1079</v>
      </c>
    </row>
    <row r="1108" spans="18:18" ht="13.8">
      <c r="R1108" s="10">
        <v>1080</v>
      </c>
    </row>
    <row r="1109" spans="18:18" ht="13.8">
      <c r="R1109" s="10">
        <v>1081</v>
      </c>
    </row>
    <row r="1110" spans="18:18" ht="13.8">
      <c r="R1110" s="10">
        <v>1082</v>
      </c>
    </row>
    <row r="1111" spans="18:18" ht="13.8">
      <c r="R1111" s="10">
        <v>1083</v>
      </c>
    </row>
    <row r="1112" spans="18:18" ht="13.8">
      <c r="R1112" s="10">
        <v>1084</v>
      </c>
    </row>
    <row r="1113" spans="18:18" ht="13.8">
      <c r="R1113" s="10">
        <v>1085</v>
      </c>
    </row>
    <row r="1114" spans="18:18" ht="13.8">
      <c r="R1114" s="10">
        <v>1086</v>
      </c>
    </row>
    <row r="1115" spans="18:18" ht="13.8">
      <c r="R1115" s="10">
        <v>1087</v>
      </c>
    </row>
    <row r="1116" spans="18:18" ht="13.8">
      <c r="R1116" s="10">
        <v>1088</v>
      </c>
    </row>
    <row r="1117" spans="18:18" ht="13.8">
      <c r="R1117" s="10">
        <v>1089</v>
      </c>
    </row>
    <row r="1118" spans="18:18" ht="13.8">
      <c r="R1118" s="10">
        <v>1090</v>
      </c>
    </row>
    <row r="1119" spans="18:18" ht="13.8">
      <c r="R1119" s="10">
        <v>1091</v>
      </c>
    </row>
    <row r="1120" spans="18:18" ht="13.8">
      <c r="R1120" s="10">
        <v>1092</v>
      </c>
    </row>
    <row r="1121" spans="18:18" ht="13.8">
      <c r="R1121" s="10">
        <v>1093</v>
      </c>
    </row>
    <row r="1122" spans="18:18" ht="13.8">
      <c r="R1122" s="10">
        <v>1094</v>
      </c>
    </row>
    <row r="1123" spans="18:18" ht="13.8">
      <c r="R1123" s="10">
        <v>1095</v>
      </c>
    </row>
    <row r="1124" spans="18:18" ht="13.8">
      <c r="R1124" s="10">
        <v>1096</v>
      </c>
    </row>
    <row r="1125" spans="18:18" ht="13.8">
      <c r="R1125" s="10">
        <v>1097</v>
      </c>
    </row>
    <row r="1126" spans="18:18" ht="13.8">
      <c r="R1126" s="10">
        <v>1098</v>
      </c>
    </row>
    <row r="1127" spans="18:18" ht="13.8">
      <c r="R1127" s="10">
        <v>1099</v>
      </c>
    </row>
    <row r="1128" spans="18:18" ht="13.8">
      <c r="R1128" s="10">
        <v>1100</v>
      </c>
    </row>
    <row r="1129" spans="18:18" ht="13.8">
      <c r="R1129" s="10">
        <v>1101</v>
      </c>
    </row>
    <row r="1130" spans="18:18" ht="13.8">
      <c r="R1130" s="10">
        <v>1102</v>
      </c>
    </row>
    <row r="1131" spans="18:18" ht="13.8">
      <c r="R1131" s="10">
        <v>1103</v>
      </c>
    </row>
    <row r="1132" spans="18:18" ht="13.8">
      <c r="R1132" s="10">
        <v>1104</v>
      </c>
    </row>
    <row r="1133" spans="18:18" ht="13.8">
      <c r="R1133" s="10">
        <v>1105</v>
      </c>
    </row>
    <row r="1134" spans="18:18" ht="13.8">
      <c r="R1134" s="10">
        <v>1106</v>
      </c>
    </row>
    <row r="1135" spans="18:18" ht="13.8">
      <c r="R1135" s="10">
        <v>1107</v>
      </c>
    </row>
    <row r="1136" spans="18:18" ht="13.8">
      <c r="R1136" s="10">
        <v>1108</v>
      </c>
    </row>
    <row r="1137" spans="18:18" ht="13.8">
      <c r="R1137" s="10">
        <v>1109</v>
      </c>
    </row>
    <row r="1138" spans="18:18" ht="13.8">
      <c r="R1138" s="10">
        <v>1110</v>
      </c>
    </row>
    <row r="1139" spans="18:18" ht="13.8">
      <c r="R1139" s="10">
        <v>1111</v>
      </c>
    </row>
    <row r="1140" spans="18:18" ht="13.8">
      <c r="R1140" s="10">
        <v>1112</v>
      </c>
    </row>
    <row r="1141" spans="18:18" ht="13.8">
      <c r="R1141" s="10">
        <v>1113</v>
      </c>
    </row>
    <row r="1142" spans="18:18" ht="13.8">
      <c r="R1142" s="10">
        <v>1114</v>
      </c>
    </row>
    <row r="1143" spans="18:18" ht="13.8">
      <c r="R1143" s="10">
        <v>1115</v>
      </c>
    </row>
    <row r="1144" spans="18:18" ht="13.8">
      <c r="R1144" s="10">
        <v>1116</v>
      </c>
    </row>
    <row r="1145" spans="18:18" ht="13.8">
      <c r="R1145" s="10">
        <v>1117</v>
      </c>
    </row>
    <row r="1146" spans="18:18" ht="13.8">
      <c r="R1146" s="10">
        <v>1118</v>
      </c>
    </row>
    <row r="1147" spans="18:18" ht="13.8">
      <c r="R1147" s="10">
        <v>1119</v>
      </c>
    </row>
    <row r="1148" spans="18:18" ht="13.8">
      <c r="R1148" s="10">
        <v>1120</v>
      </c>
    </row>
    <row r="1149" spans="18:18" ht="13.8">
      <c r="R1149" s="10">
        <v>1121</v>
      </c>
    </row>
    <row r="1150" spans="18:18" ht="13.8">
      <c r="R1150" s="10">
        <v>1122</v>
      </c>
    </row>
    <row r="1151" spans="18:18" ht="13.8">
      <c r="R1151" s="10">
        <v>1123</v>
      </c>
    </row>
    <row r="1152" spans="18:18" ht="13.8">
      <c r="R1152" s="10">
        <v>1124</v>
      </c>
    </row>
    <row r="1153" spans="18:18" ht="13.8">
      <c r="R1153" s="10">
        <v>1125</v>
      </c>
    </row>
    <row r="1154" spans="18:18" ht="13.8">
      <c r="R1154" s="10">
        <v>1126</v>
      </c>
    </row>
    <row r="1155" spans="18:18" ht="13.8">
      <c r="R1155" s="10">
        <v>1127</v>
      </c>
    </row>
    <row r="1156" spans="18:18" ht="13.8">
      <c r="R1156" s="10">
        <v>1128</v>
      </c>
    </row>
    <row r="1157" spans="18:18" ht="13.8">
      <c r="R1157" s="10">
        <v>1129</v>
      </c>
    </row>
    <row r="1158" spans="18:18" ht="13.8">
      <c r="R1158" s="10">
        <v>1130</v>
      </c>
    </row>
    <row r="1159" spans="18:18" ht="13.8">
      <c r="R1159" s="10">
        <v>1131</v>
      </c>
    </row>
    <row r="1160" spans="18:18" ht="13.8">
      <c r="R1160" s="10">
        <v>1132</v>
      </c>
    </row>
    <row r="1161" spans="18:18" ht="13.8">
      <c r="R1161" s="10">
        <v>1133</v>
      </c>
    </row>
    <row r="1162" spans="18:18" ht="13.8">
      <c r="R1162" s="10">
        <v>1134</v>
      </c>
    </row>
    <row r="1163" spans="18:18" ht="13.8">
      <c r="R1163" s="10">
        <v>1135</v>
      </c>
    </row>
    <row r="1164" spans="18:18" ht="13.8">
      <c r="R1164" s="10">
        <v>1136</v>
      </c>
    </row>
    <row r="1165" spans="18:18" ht="13.8">
      <c r="R1165" s="10">
        <v>1137</v>
      </c>
    </row>
    <row r="1166" spans="18:18" ht="13.8">
      <c r="R1166" s="10">
        <v>1138</v>
      </c>
    </row>
    <row r="1167" spans="18:18" ht="13.8">
      <c r="R1167" s="10">
        <v>1139</v>
      </c>
    </row>
    <row r="1168" spans="18:18" ht="13.8">
      <c r="R1168" s="10">
        <v>1140</v>
      </c>
    </row>
    <row r="1169" spans="18:18" ht="13.8">
      <c r="R1169" s="10">
        <v>1141</v>
      </c>
    </row>
    <row r="1170" spans="18:18" ht="13.8">
      <c r="R1170" s="10">
        <v>1142</v>
      </c>
    </row>
    <row r="1171" spans="18:18" ht="13.8">
      <c r="R1171" s="10">
        <v>1143</v>
      </c>
    </row>
    <row r="1172" spans="18:18" ht="13.8">
      <c r="R1172" s="10">
        <v>1144</v>
      </c>
    </row>
    <row r="1173" spans="18:18" ht="13.8">
      <c r="R1173" s="10">
        <v>1145</v>
      </c>
    </row>
    <row r="1174" spans="18:18" ht="13.8">
      <c r="R1174" s="10">
        <v>1146</v>
      </c>
    </row>
    <row r="1175" spans="18:18" ht="13.8">
      <c r="R1175" s="10">
        <v>1147</v>
      </c>
    </row>
    <row r="1176" spans="18:18" ht="13.8">
      <c r="R1176" s="10">
        <v>1148</v>
      </c>
    </row>
    <row r="1177" spans="18:18" ht="13.8">
      <c r="R1177" s="10">
        <v>1149</v>
      </c>
    </row>
    <row r="1178" spans="18:18" ht="13.8">
      <c r="R1178" s="10">
        <v>1150</v>
      </c>
    </row>
    <row r="1179" spans="18:18" ht="13.8">
      <c r="R1179" s="10">
        <v>1151</v>
      </c>
    </row>
    <row r="1180" spans="18:18" ht="13.8">
      <c r="R1180" s="10">
        <v>1152</v>
      </c>
    </row>
    <row r="1181" spans="18:18" ht="13.8">
      <c r="R1181" s="10">
        <v>1153</v>
      </c>
    </row>
    <row r="1182" spans="18:18" ht="13.8">
      <c r="R1182" s="10">
        <v>1154</v>
      </c>
    </row>
    <row r="1183" spans="18:18" ht="13.8">
      <c r="R1183" s="10">
        <v>1155</v>
      </c>
    </row>
    <row r="1184" spans="18:18" ht="13.8">
      <c r="R1184" s="10">
        <v>1156</v>
      </c>
    </row>
    <row r="1185" spans="18:18" ht="13.8">
      <c r="R1185" s="10">
        <v>1157</v>
      </c>
    </row>
    <row r="1186" spans="18:18" ht="13.8">
      <c r="R1186" s="10">
        <v>1158</v>
      </c>
    </row>
    <row r="1187" spans="18:18" ht="13.8">
      <c r="R1187" s="10">
        <v>1159</v>
      </c>
    </row>
    <row r="1188" spans="18:18" ht="13.8">
      <c r="R1188" s="10">
        <v>1160</v>
      </c>
    </row>
    <row r="1189" spans="18:18" ht="13.8">
      <c r="R1189" s="10">
        <v>1161</v>
      </c>
    </row>
    <row r="1190" spans="18:18" ht="13.8">
      <c r="R1190" s="10">
        <v>1162</v>
      </c>
    </row>
    <row r="1191" spans="18:18" ht="13.8">
      <c r="R1191" s="10">
        <v>1163</v>
      </c>
    </row>
    <row r="1192" spans="18:18" ht="13.8">
      <c r="R1192" s="10">
        <v>1164</v>
      </c>
    </row>
    <row r="1193" spans="18:18" ht="13.8">
      <c r="R1193" s="10">
        <v>1165</v>
      </c>
    </row>
    <row r="1194" spans="18:18" ht="13.8">
      <c r="R1194" s="10">
        <v>1166</v>
      </c>
    </row>
    <row r="1195" spans="18:18" ht="13.8">
      <c r="R1195" s="10">
        <v>1167</v>
      </c>
    </row>
    <row r="1196" spans="18:18" ht="13.8">
      <c r="R1196" s="10">
        <v>1168</v>
      </c>
    </row>
    <row r="1197" spans="18:18" ht="13.8">
      <c r="R1197" s="10">
        <v>1169</v>
      </c>
    </row>
    <row r="1198" spans="18:18" ht="13.8">
      <c r="R1198" s="10">
        <v>1170</v>
      </c>
    </row>
    <row r="1199" spans="18:18" ht="13.8">
      <c r="R1199" s="10">
        <v>1171</v>
      </c>
    </row>
    <row r="1200" spans="18:18" ht="13.8">
      <c r="R1200" s="10">
        <v>1172</v>
      </c>
    </row>
    <row r="1201" spans="18:18" ht="13.8">
      <c r="R1201" s="10">
        <v>1173</v>
      </c>
    </row>
    <row r="1202" spans="18:18" ht="13.8">
      <c r="R1202" s="10">
        <v>1174</v>
      </c>
    </row>
    <row r="1203" spans="18:18" ht="13.8">
      <c r="R1203" s="10">
        <v>1175</v>
      </c>
    </row>
    <row r="1204" spans="18:18" ht="13.8">
      <c r="R1204" s="10">
        <v>1176</v>
      </c>
    </row>
    <row r="1205" spans="18:18" ht="13.8">
      <c r="R1205" s="10">
        <v>1177</v>
      </c>
    </row>
    <row r="1206" spans="18:18" ht="13.8">
      <c r="R1206" s="10">
        <v>1178</v>
      </c>
    </row>
    <row r="1207" spans="18:18" ht="13.8">
      <c r="R1207" s="10">
        <v>1179</v>
      </c>
    </row>
    <row r="1208" spans="18:18" ht="13.8">
      <c r="R1208" s="10">
        <v>1180</v>
      </c>
    </row>
    <row r="1209" spans="18:18" ht="13.8">
      <c r="R1209" s="10">
        <v>1181</v>
      </c>
    </row>
    <row r="1210" spans="18:18" ht="13.8">
      <c r="R1210" s="10">
        <v>1182</v>
      </c>
    </row>
    <row r="1211" spans="18:18" ht="13.8">
      <c r="R1211" s="10">
        <v>1183</v>
      </c>
    </row>
    <row r="1212" spans="18:18" ht="13.8">
      <c r="R1212" s="10">
        <v>1184</v>
      </c>
    </row>
    <row r="1213" spans="18:18" ht="13.8">
      <c r="R1213" s="10">
        <v>1185</v>
      </c>
    </row>
    <row r="1214" spans="18:18" ht="13.8">
      <c r="R1214" s="10">
        <v>1186</v>
      </c>
    </row>
    <row r="1215" spans="18:18" ht="13.8">
      <c r="R1215" s="10">
        <v>1187</v>
      </c>
    </row>
    <row r="1216" spans="18:18" ht="13.8">
      <c r="R1216" s="10">
        <v>1188</v>
      </c>
    </row>
    <row r="1217" spans="18:18" ht="13.8">
      <c r="R1217" s="10">
        <v>1189</v>
      </c>
    </row>
    <row r="1218" spans="18:18" ht="13.8">
      <c r="R1218" s="10">
        <v>1190</v>
      </c>
    </row>
    <row r="1219" spans="18:18" ht="13.8">
      <c r="R1219" s="10">
        <v>1191</v>
      </c>
    </row>
    <row r="1220" spans="18:18" ht="13.8">
      <c r="R1220" s="10">
        <v>1192</v>
      </c>
    </row>
    <row r="1221" spans="18:18" ht="13.8">
      <c r="R1221" s="10">
        <v>1193</v>
      </c>
    </row>
    <row r="1222" spans="18:18" ht="13.8">
      <c r="R1222" s="10">
        <v>1194</v>
      </c>
    </row>
    <row r="1223" spans="18:18" ht="13.8">
      <c r="R1223" s="10">
        <v>1195</v>
      </c>
    </row>
    <row r="1224" spans="18:18" ht="13.8">
      <c r="R1224" s="10">
        <v>1196</v>
      </c>
    </row>
    <row r="1225" spans="18:18" ht="13.8">
      <c r="R1225" s="10">
        <v>1197</v>
      </c>
    </row>
    <row r="1226" spans="18:18" ht="13.8">
      <c r="R1226" s="10">
        <v>1198</v>
      </c>
    </row>
    <row r="1227" spans="18:18" ht="13.8">
      <c r="R1227" s="10">
        <v>1199</v>
      </c>
    </row>
    <row r="1228" spans="18:18" ht="13.8">
      <c r="R1228" s="10">
        <v>1200</v>
      </c>
    </row>
    <row r="1229" spans="18:18" ht="13.8">
      <c r="R1229" s="10">
        <v>1201</v>
      </c>
    </row>
    <row r="1230" spans="18:18" ht="13.8">
      <c r="R1230" s="10">
        <v>1202</v>
      </c>
    </row>
    <row r="1231" spans="18:18" ht="13.8">
      <c r="R1231" s="10">
        <v>1203</v>
      </c>
    </row>
    <row r="1232" spans="18:18" ht="13.8">
      <c r="R1232" s="10">
        <v>1204</v>
      </c>
    </row>
    <row r="1233" spans="18:18" ht="13.8">
      <c r="R1233" s="10">
        <v>1205</v>
      </c>
    </row>
    <row r="1234" spans="18:18" ht="13.8">
      <c r="R1234" s="10">
        <v>1206</v>
      </c>
    </row>
    <row r="1235" spans="18:18" ht="13.8">
      <c r="R1235" s="10">
        <v>1207</v>
      </c>
    </row>
    <row r="1236" spans="18:18" ht="13.8">
      <c r="R1236" s="10">
        <v>1208</v>
      </c>
    </row>
    <row r="1237" spans="18:18" ht="13.8">
      <c r="R1237" s="10">
        <v>1209</v>
      </c>
    </row>
    <row r="1238" spans="18:18" ht="13.8">
      <c r="R1238" s="10">
        <v>1210</v>
      </c>
    </row>
    <row r="1239" spans="18:18" ht="13.8">
      <c r="R1239" s="10">
        <v>1211</v>
      </c>
    </row>
    <row r="1240" spans="18:18" ht="13.8">
      <c r="R1240" s="10">
        <v>1212</v>
      </c>
    </row>
    <row r="1241" spans="18:18" ht="13.8">
      <c r="R1241" s="10">
        <v>1213</v>
      </c>
    </row>
    <row r="1242" spans="18:18" ht="13.8">
      <c r="R1242" s="10">
        <v>1214</v>
      </c>
    </row>
    <row r="1243" spans="18:18" ht="13.8">
      <c r="R1243" s="10">
        <v>1215</v>
      </c>
    </row>
    <row r="1244" spans="18:18" ht="13.8">
      <c r="R1244" s="10">
        <v>1216</v>
      </c>
    </row>
    <row r="1245" spans="18:18" ht="13.8">
      <c r="R1245" s="10">
        <v>1217</v>
      </c>
    </row>
    <row r="1246" spans="18:18" ht="13.8">
      <c r="R1246" s="10">
        <v>1218</v>
      </c>
    </row>
    <row r="1247" spans="18:18" ht="13.8">
      <c r="R1247" s="10">
        <v>1219</v>
      </c>
    </row>
    <row r="1248" spans="18:18" ht="13.8">
      <c r="R1248" s="10">
        <v>1220</v>
      </c>
    </row>
    <row r="1249" spans="18:18" ht="13.8">
      <c r="R1249" s="10">
        <v>1221</v>
      </c>
    </row>
    <row r="1250" spans="18:18" ht="13.8">
      <c r="R1250" s="10">
        <v>1222</v>
      </c>
    </row>
    <row r="1251" spans="18:18" ht="13.8">
      <c r="R1251" s="10">
        <v>1223</v>
      </c>
    </row>
    <row r="1252" spans="18:18" ht="13.8">
      <c r="R1252" s="10">
        <v>1224</v>
      </c>
    </row>
    <row r="1253" spans="18:18" ht="13.8">
      <c r="R1253" s="10">
        <v>1225</v>
      </c>
    </row>
    <row r="1254" spans="18:18" ht="13.8">
      <c r="R1254" s="10">
        <v>1226</v>
      </c>
    </row>
    <row r="1255" spans="18:18" ht="13.8">
      <c r="R1255" s="10">
        <v>1227</v>
      </c>
    </row>
    <row r="1256" spans="18:18" ht="13.8">
      <c r="R1256" s="10">
        <v>1228</v>
      </c>
    </row>
    <row r="1257" spans="18:18" ht="13.8">
      <c r="R1257" s="10">
        <v>1229</v>
      </c>
    </row>
    <row r="1258" spans="18:18" ht="13.8">
      <c r="R1258" s="10">
        <v>1230</v>
      </c>
    </row>
    <row r="1259" spans="18:18" ht="13.8">
      <c r="R1259" s="10">
        <v>1231</v>
      </c>
    </row>
    <row r="1260" spans="18:18" ht="13.8">
      <c r="R1260" s="10">
        <v>1232</v>
      </c>
    </row>
    <row r="1261" spans="18:18" ht="13.8">
      <c r="R1261" s="10">
        <v>1233</v>
      </c>
    </row>
    <row r="1262" spans="18:18" ht="13.8">
      <c r="R1262" s="10">
        <v>1234</v>
      </c>
    </row>
    <row r="1263" spans="18:18" ht="13.8">
      <c r="R1263" s="10">
        <v>1235</v>
      </c>
    </row>
    <row r="1264" spans="18:18" ht="13.8">
      <c r="R1264" s="10">
        <v>1236</v>
      </c>
    </row>
    <row r="1265" spans="18:18" ht="13.8">
      <c r="R1265" s="10">
        <v>1237</v>
      </c>
    </row>
    <row r="1266" spans="18:18" ht="13.8">
      <c r="R1266" s="10">
        <v>1238</v>
      </c>
    </row>
    <row r="1267" spans="18:18" ht="13.8">
      <c r="R1267" s="10">
        <v>1239</v>
      </c>
    </row>
    <row r="1268" spans="18:18" ht="13.8">
      <c r="R1268" s="10">
        <v>1240</v>
      </c>
    </row>
    <row r="1269" spans="18:18" ht="13.8">
      <c r="R1269" s="10">
        <v>1241</v>
      </c>
    </row>
    <row r="1270" spans="18:18" ht="13.8">
      <c r="R1270" s="10">
        <v>1242</v>
      </c>
    </row>
    <row r="1271" spans="18:18" ht="13.8">
      <c r="R1271" s="10">
        <v>1243</v>
      </c>
    </row>
    <row r="1272" spans="18:18" ht="13.8">
      <c r="R1272" s="10">
        <v>1244</v>
      </c>
    </row>
    <row r="1273" spans="18:18" ht="13.8">
      <c r="R1273" s="10">
        <v>1245</v>
      </c>
    </row>
    <row r="1274" spans="18:18" ht="13.8">
      <c r="R1274" s="10">
        <v>1246</v>
      </c>
    </row>
    <row r="1275" spans="18:18" ht="13.8">
      <c r="R1275" s="10">
        <v>1247</v>
      </c>
    </row>
    <row r="1276" spans="18:18" ht="13.8">
      <c r="R1276" s="10">
        <v>1248</v>
      </c>
    </row>
    <row r="1277" spans="18:18" ht="13.8">
      <c r="R1277" s="10">
        <v>1249</v>
      </c>
    </row>
    <row r="1278" spans="18:18" ht="13.8">
      <c r="R1278" s="10">
        <v>1250</v>
      </c>
    </row>
    <row r="1279" spans="18:18" ht="13.8">
      <c r="R1279" s="10">
        <v>1251</v>
      </c>
    </row>
    <row r="1280" spans="18:18" ht="13.8">
      <c r="R1280" s="10">
        <v>1252</v>
      </c>
    </row>
    <row r="1281" spans="18:18" ht="13.8">
      <c r="R1281" s="10">
        <v>1253</v>
      </c>
    </row>
    <row r="1282" spans="18:18" ht="13.8">
      <c r="R1282" s="10">
        <v>1254</v>
      </c>
    </row>
    <row r="1283" spans="18:18" ht="13.8">
      <c r="R1283" s="10">
        <v>1255</v>
      </c>
    </row>
    <row r="1284" spans="18:18" ht="13.8">
      <c r="R1284" s="10">
        <v>1256</v>
      </c>
    </row>
    <row r="1285" spans="18:18" ht="13.8">
      <c r="R1285" s="10">
        <v>1257</v>
      </c>
    </row>
    <row r="1286" spans="18:18" ht="13.8">
      <c r="R1286" s="10">
        <v>1258</v>
      </c>
    </row>
    <row r="1287" spans="18:18" ht="13.8">
      <c r="R1287" s="10">
        <v>1259</v>
      </c>
    </row>
    <row r="1288" spans="18:18" ht="13.8">
      <c r="R1288" s="10">
        <v>1260</v>
      </c>
    </row>
    <row r="1289" spans="18:18" ht="13.8">
      <c r="R1289" s="10">
        <v>1261</v>
      </c>
    </row>
    <row r="1290" spans="18:18" ht="13.8">
      <c r="R1290" s="10">
        <v>1262</v>
      </c>
    </row>
    <row r="1291" spans="18:18" ht="13.8">
      <c r="R1291" s="10">
        <v>1263</v>
      </c>
    </row>
    <row r="1292" spans="18:18" ht="13.8">
      <c r="R1292" s="10">
        <v>1264</v>
      </c>
    </row>
    <row r="1293" spans="18:18" ht="13.8">
      <c r="R1293" s="10">
        <v>1265</v>
      </c>
    </row>
    <row r="1294" spans="18:18" ht="13.8">
      <c r="R1294" s="10">
        <v>1266</v>
      </c>
    </row>
    <row r="1295" spans="18:18" ht="13.8">
      <c r="R1295" s="10">
        <v>1267</v>
      </c>
    </row>
    <row r="1296" spans="18:18" ht="13.8">
      <c r="R1296" s="10">
        <v>1268</v>
      </c>
    </row>
    <row r="1297" spans="18:18" ht="13.8">
      <c r="R1297" s="10">
        <v>1269</v>
      </c>
    </row>
    <row r="1298" spans="18:18" ht="13.8">
      <c r="R1298" s="10">
        <v>1270</v>
      </c>
    </row>
    <row r="1299" spans="18:18" ht="13.8">
      <c r="R1299" s="10">
        <v>1271</v>
      </c>
    </row>
    <row r="1300" spans="18:18" ht="13.8">
      <c r="R1300" s="10">
        <v>1272</v>
      </c>
    </row>
    <row r="1301" spans="18:18" ht="13.8">
      <c r="R1301" s="10">
        <v>1273</v>
      </c>
    </row>
    <row r="1302" spans="18:18" ht="13.8">
      <c r="R1302" s="10">
        <v>1274</v>
      </c>
    </row>
    <row r="1303" spans="18:18" ht="13.8">
      <c r="R1303" s="10">
        <v>1275</v>
      </c>
    </row>
    <row r="1304" spans="18:18" ht="13.8">
      <c r="R1304" s="10">
        <v>1276</v>
      </c>
    </row>
    <row r="1305" spans="18:18" ht="13.8">
      <c r="R1305" s="10">
        <v>1277</v>
      </c>
    </row>
    <row r="1306" spans="18:18" ht="13.8">
      <c r="R1306" s="10">
        <v>1278</v>
      </c>
    </row>
    <row r="1307" spans="18:18" ht="13.8">
      <c r="R1307" s="10">
        <v>1279</v>
      </c>
    </row>
    <row r="1308" spans="18:18" ht="13.8">
      <c r="R1308" s="10">
        <v>1280</v>
      </c>
    </row>
    <row r="1309" spans="18:18" ht="13.8">
      <c r="R1309" s="10">
        <v>1281</v>
      </c>
    </row>
    <row r="1310" spans="18:18" ht="13.8">
      <c r="R1310" s="10">
        <v>1282</v>
      </c>
    </row>
    <row r="1311" spans="18:18" ht="13.8">
      <c r="R1311" s="10">
        <v>1283</v>
      </c>
    </row>
    <row r="1312" spans="18:18" ht="13.8">
      <c r="R1312" s="10">
        <v>1284</v>
      </c>
    </row>
    <row r="1313" spans="18:18" ht="13.8">
      <c r="R1313" s="10">
        <v>1285</v>
      </c>
    </row>
    <row r="1314" spans="18:18" ht="13.8">
      <c r="R1314" s="10">
        <v>1286</v>
      </c>
    </row>
    <row r="1315" spans="18:18" ht="13.8">
      <c r="R1315" s="10">
        <v>1287</v>
      </c>
    </row>
    <row r="1316" spans="18:18" ht="13.8">
      <c r="R1316" s="10">
        <v>1288</v>
      </c>
    </row>
    <row r="1317" spans="18:18" ht="13.8">
      <c r="R1317" s="10">
        <v>1289</v>
      </c>
    </row>
    <row r="1318" spans="18:18" ht="13.8">
      <c r="R1318" s="10">
        <v>1290</v>
      </c>
    </row>
    <row r="1319" spans="18:18" ht="13.8">
      <c r="R1319" s="10">
        <v>1291</v>
      </c>
    </row>
    <row r="1320" spans="18:18" ht="13.8">
      <c r="R1320" s="10">
        <v>1292</v>
      </c>
    </row>
    <row r="1321" spans="18:18" ht="13.8">
      <c r="R1321" s="10">
        <v>1293</v>
      </c>
    </row>
    <row r="1322" spans="18:18" ht="13.8">
      <c r="R1322" s="10">
        <v>1294</v>
      </c>
    </row>
    <row r="1323" spans="18:18" ht="13.8">
      <c r="R1323" s="10">
        <v>1295</v>
      </c>
    </row>
    <row r="1324" spans="18:18" ht="13.8">
      <c r="R1324" s="10">
        <v>1296</v>
      </c>
    </row>
    <row r="1325" spans="18:18" ht="13.8">
      <c r="R1325" s="10">
        <v>1297</v>
      </c>
    </row>
    <row r="1326" spans="18:18" ht="13.8">
      <c r="R1326" s="10">
        <v>1298</v>
      </c>
    </row>
    <row r="1327" spans="18:18" ht="13.8">
      <c r="R1327" s="10">
        <v>1299</v>
      </c>
    </row>
    <row r="1328" spans="18:18" ht="13.8">
      <c r="R1328" s="10">
        <v>1300</v>
      </c>
    </row>
    <row r="1329" spans="18:18" ht="13.8">
      <c r="R1329" s="10">
        <v>1301</v>
      </c>
    </row>
    <row r="1330" spans="18:18" ht="13.8">
      <c r="R1330" s="10">
        <v>1302</v>
      </c>
    </row>
    <row r="1331" spans="18:18" ht="13.8">
      <c r="R1331" s="10">
        <v>1303</v>
      </c>
    </row>
    <row r="1332" spans="18:18" ht="13.8">
      <c r="R1332" s="10">
        <v>1304</v>
      </c>
    </row>
    <row r="1333" spans="18:18" ht="13.8">
      <c r="R1333" s="10">
        <v>1305</v>
      </c>
    </row>
    <row r="1334" spans="18:18" ht="13.8">
      <c r="R1334" s="10">
        <v>1306</v>
      </c>
    </row>
    <row r="1335" spans="18:18" ht="13.8">
      <c r="R1335" s="10">
        <v>1307</v>
      </c>
    </row>
    <row r="1336" spans="18:18" ht="13.8">
      <c r="R1336" s="10">
        <v>1308</v>
      </c>
    </row>
    <row r="1337" spans="18:18" ht="13.8">
      <c r="R1337" s="10">
        <v>1309</v>
      </c>
    </row>
    <row r="1338" spans="18:18" ht="13.8">
      <c r="R1338" s="10">
        <v>1310</v>
      </c>
    </row>
    <row r="1339" spans="18:18" ht="13.8">
      <c r="R1339" s="10">
        <v>1311</v>
      </c>
    </row>
    <row r="1340" spans="18:18" ht="13.8">
      <c r="R1340" s="10">
        <v>1312</v>
      </c>
    </row>
    <row r="1341" spans="18:18" ht="13.8">
      <c r="R1341" s="10">
        <v>1313</v>
      </c>
    </row>
    <row r="1342" spans="18:18" ht="13.8">
      <c r="R1342" s="10">
        <v>1314</v>
      </c>
    </row>
    <row r="1343" spans="18:18" ht="13.8">
      <c r="R1343" s="10">
        <v>1315</v>
      </c>
    </row>
    <row r="1344" spans="18:18" ht="13.8">
      <c r="R1344" s="10">
        <v>1316</v>
      </c>
    </row>
    <row r="1345" spans="18:18" ht="13.8">
      <c r="R1345" s="10">
        <v>1317</v>
      </c>
    </row>
    <row r="1346" spans="18:18" ht="13.8">
      <c r="R1346" s="10">
        <v>1318</v>
      </c>
    </row>
    <row r="1347" spans="18:18" ht="13.8">
      <c r="R1347" s="10">
        <v>1319</v>
      </c>
    </row>
    <row r="1348" spans="18:18" ht="13.8">
      <c r="R1348" s="10">
        <v>1320</v>
      </c>
    </row>
    <row r="1349" spans="18:18" ht="13.8">
      <c r="R1349" s="10">
        <v>1321</v>
      </c>
    </row>
    <row r="1350" spans="18:18" ht="13.8">
      <c r="R1350" s="10">
        <v>1322</v>
      </c>
    </row>
    <row r="1351" spans="18:18" ht="13.8">
      <c r="R1351" s="10">
        <v>1323</v>
      </c>
    </row>
    <row r="1352" spans="18:18" ht="13.8">
      <c r="R1352" s="10">
        <v>1324</v>
      </c>
    </row>
    <row r="1353" spans="18:18" ht="13.8">
      <c r="R1353" s="10">
        <v>1325</v>
      </c>
    </row>
    <row r="1354" spans="18:18" ht="13.8">
      <c r="R1354" s="10">
        <v>1326</v>
      </c>
    </row>
    <row r="1355" spans="18:18" ht="13.8">
      <c r="R1355" s="10">
        <v>1327</v>
      </c>
    </row>
    <row r="1356" spans="18:18" ht="13.8">
      <c r="R1356" s="10">
        <v>1328</v>
      </c>
    </row>
    <row r="1357" spans="18:18" ht="13.8">
      <c r="R1357" s="10">
        <v>1329</v>
      </c>
    </row>
    <row r="1358" spans="18:18" ht="13.8">
      <c r="R1358" s="10">
        <v>1330</v>
      </c>
    </row>
    <row r="1359" spans="18:18" ht="13.8">
      <c r="R1359" s="10">
        <v>1331</v>
      </c>
    </row>
    <row r="1360" spans="18:18" ht="13.8">
      <c r="R1360" s="10">
        <v>1332</v>
      </c>
    </row>
    <row r="1361" spans="18:18" ht="13.8">
      <c r="R1361" s="10">
        <v>1333</v>
      </c>
    </row>
    <row r="1362" spans="18:18" ht="13.8">
      <c r="R1362" s="10">
        <v>1334</v>
      </c>
    </row>
    <row r="1363" spans="18:18" ht="13.8">
      <c r="R1363" s="10">
        <v>1335</v>
      </c>
    </row>
    <row r="1364" spans="18:18" ht="13.8">
      <c r="R1364" s="10">
        <v>1336</v>
      </c>
    </row>
    <row r="1365" spans="18:18" ht="13.8">
      <c r="R1365" s="10">
        <v>1337</v>
      </c>
    </row>
    <row r="1366" spans="18:18" ht="13.8">
      <c r="R1366" s="10">
        <v>1338</v>
      </c>
    </row>
    <row r="1367" spans="18:18" ht="13.8">
      <c r="R1367" s="10">
        <v>1339</v>
      </c>
    </row>
    <row r="1368" spans="18:18" ht="13.8">
      <c r="R1368" s="10">
        <v>1340</v>
      </c>
    </row>
    <row r="1369" spans="18:18" ht="13.8">
      <c r="R1369" s="10">
        <v>1341</v>
      </c>
    </row>
    <row r="1370" spans="18:18" ht="13.8">
      <c r="R1370" s="10">
        <v>1342</v>
      </c>
    </row>
    <row r="1371" spans="18:18" ht="13.8">
      <c r="R1371" s="10">
        <v>1343</v>
      </c>
    </row>
    <row r="1372" spans="18:18" ht="13.8">
      <c r="R1372" s="10">
        <v>1344</v>
      </c>
    </row>
    <row r="1373" spans="18:18" ht="13.8">
      <c r="R1373" s="10">
        <v>1345</v>
      </c>
    </row>
    <row r="1374" spans="18:18" ht="13.8">
      <c r="R1374" s="10">
        <v>1346</v>
      </c>
    </row>
    <row r="1375" spans="18:18" ht="13.8">
      <c r="R1375" s="10">
        <v>1347</v>
      </c>
    </row>
    <row r="1376" spans="18:18" ht="13.8">
      <c r="R1376" s="10">
        <v>1348</v>
      </c>
    </row>
    <row r="1377" spans="18:18" ht="13.8">
      <c r="R1377" s="10">
        <v>1349</v>
      </c>
    </row>
    <row r="1378" spans="18:18" ht="13.8">
      <c r="R1378" s="10">
        <v>1350</v>
      </c>
    </row>
    <row r="1379" spans="18:18" ht="13.8">
      <c r="R1379" s="10">
        <v>1351</v>
      </c>
    </row>
    <row r="1380" spans="18:18" ht="13.8">
      <c r="R1380" s="10">
        <v>1352</v>
      </c>
    </row>
    <row r="1381" spans="18:18" ht="13.8">
      <c r="R1381" s="10">
        <v>1353</v>
      </c>
    </row>
    <row r="1382" spans="18:18" ht="13.8">
      <c r="R1382" s="10">
        <v>1354</v>
      </c>
    </row>
    <row r="1383" spans="18:18" ht="13.8">
      <c r="R1383" s="10">
        <v>1355</v>
      </c>
    </row>
    <row r="1384" spans="18:18" ht="13.8">
      <c r="R1384" s="10">
        <v>1356</v>
      </c>
    </row>
    <row r="1385" spans="18:18" ht="13.8">
      <c r="R1385" s="10">
        <v>1357</v>
      </c>
    </row>
    <row r="1386" spans="18:18" ht="13.8">
      <c r="R1386" s="10">
        <v>1358</v>
      </c>
    </row>
    <row r="1387" spans="18:18" ht="13.8">
      <c r="R1387" s="10">
        <v>1359</v>
      </c>
    </row>
    <row r="1388" spans="18:18" ht="13.8">
      <c r="R1388" s="10">
        <v>1360</v>
      </c>
    </row>
    <row r="1389" spans="18:18" ht="13.8">
      <c r="R1389" s="10">
        <v>1361</v>
      </c>
    </row>
    <row r="1390" spans="18:18" ht="13.8">
      <c r="R1390" s="10">
        <v>1362</v>
      </c>
    </row>
    <row r="1391" spans="18:18" ht="13.8">
      <c r="R1391" s="10">
        <v>1363</v>
      </c>
    </row>
    <row r="1392" spans="18:18" ht="13.8">
      <c r="R1392" s="10">
        <v>1364</v>
      </c>
    </row>
    <row r="1393" spans="18:18" ht="13.8">
      <c r="R1393" s="10">
        <v>1365</v>
      </c>
    </row>
    <row r="1394" spans="18:18" ht="13.8">
      <c r="R1394" s="10">
        <v>1366</v>
      </c>
    </row>
    <row r="1395" spans="18:18" ht="13.8">
      <c r="R1395" s="10">
        <v>1367</v>
      </c>
    </row>
    <row r="1396" spans="18:18" ht="13.8">
      <c r="R1396" s="10">
        <v>1368</v>
      </c>
    </row>
    <row r="1397" spans="18:18" ht="13.8">
      <c r="R1397" s="10">
        <v>1369</v>
      </c>
    </row>
    <row r="1398" spans="18:18" ht="13.8">
      <c r="R1398" s="10">
        <v>1370</v>
      </c>
    </row>
    <row r="1399" spans="18:18" ht="13.8">
      <c r="R1399" s="10">
        <v>1371</v>
      </c>
    </row>
    <row r="1400" spans="18:18" ht="13.8">
      <c r="R1400" s="10">
        <v>1372</v>
      </c>
    </row>
    <row r="1401" spans="18:18" ht="13.8">
      <c r="R1401" s="10">
        <v>1373</v>
      </c>
    </row>
    <row r="1402" spans="18:18" ht="13.8">
      <c r="R1402" s="10">
        <v>1374</v>
      </c>
    </row>
    <row r="1403" spans="18:18" ht="13.8">
      <c r="R1403" s="10">
        <v>1375</v>
      </c>
    </row>
    <row r="1404" spans="18:18" ht="13.8">
      <c r="R1404" s="10">
        <v>1376</v>
      </c>
    </row>
    <row r="1405" spans="18:18" ht="13.8">
      <c r="R1405" s="10">
        <v>1377</v>
      </c>
    </row>
    <row r="1406" spans="18:18" ht="13.8">
      <c r="R1406" s="10">
        <v>1378</v>
      </c>
    </row>
    <row r="1407" spans="18:18" ht="13.8">
      <c r="R1407" s="10">
        <v>1379</v>
      </c>
    </row>
    <row r="1408" spans="18:18" ht="13.8">
      <c r="R1408" s="10">
        <v>1380</v>
      </c>
    </row>
    <row r="1409" spans="18:18" ht="13.8">
      <c r="R1409" s="10">
        <v>1381</v>
      </c>
    </row>
    <row r="1410" spans="18:18" ht="13.8">
      <c r="R1410" s="10">
        <v>1382</v>
      </c>
    </row>
    <row r="1411" spans="18:18" ht="13.8">
      <c r="R1411" s="10">
        <v>1383</v>
      </c>
    </row>
    <row r="1412" spans="18:18" ht="13.8">
      <c r="R1412" s="10">
        <v>1384</v>
      </c>
    </row>
    <row r="1413" spans="18:18" ht="13.8">
      <c r="R1413" s="10">
        <v>1385</v>
      </c>
    </row>
    <row r="1414" spans="18:18" ht="13.8">
      <c r="R1414" s="10">
        <v>1386</v>
      </c>
    </row>
    <row r="1415" spans="18:18" ht="13.8">
      <c r="R1415" s="10">
        <v>1387</v>
      </c>
    </row>
    <row r="1416" spans="18:18" ht="13.8">
      <c r="R1416" s="10">
        <v>1388</v>
      </c>
    </row>
    <row r="1417" spans="18:18" ht="13.8">
      <c r="R1417" s="10">
        <v>1389</v>
      </c>
    </row>
    <row r="1418" spans="18:18" ht="13.8">
      <c r="R1418" s="10">
        <v>1390</v>
      </c>
    </row>
    <row r="1419" spans="18:18" ht="13.8">
      <c r="R1419" s="10">
        <v>1391</v>
      </c>
    </row>
    <row r="1420" spans="18:18" ht="13.8">
      <c r="R1420" s="10">
        <v>1392</v>
      </c>
    </row>
    <row r="1421" spans="18:18" ht="13.8">
      <c r="R1421" s="10">
        <v>1393</v>
      </c>
    </row>
    <row r="1422" spans="18:18" ht="13.8">
      <c r="R1422" s="10">
        <v>1394</v>
      </c>
    </row>
    <row r="1423" spans="18:18" ht="13.8">
      <c r="R1423" s="10">
        <v>1395</v>
      </c>
    </row>
    <row r="1424" spans="18:18" ht="13.8">
      <c r="R1424" s="10">
        <v>1396</v>
      </c>
    </row>
    <row r="1425" spans="18:18" ht="13.8">
      <c r="R1425" s="10">
        <v>1397</v>
      </c>
    </row>
    <row r="1426" spans="18:18" ht="13.8">
      <c r="R1426" s="10">
        <v>1398</v>
      </c>
    </row>
    <row r="1427" spans="18:18" ht="13.8">
      <c r="R1427" s="10">
        <v>1399</v>
      </c>
    </row>
    <row r="1428" spans="18:18" ht="13.8">
      <c r="R1428" s="10">
        <v>1400</v>
      </c>
    </row>
    <row r="1429" spans="18:18" ht="13.8">
      <c r="R1429" s="10">
        <v>1401</v>
      </c>
    </row>
    <row r="1430" spans="18:18" ht="13.8">
      <c r="R1430" s="10">
        <v>1402</v>
      </c>
    </row>
    <row r="1431" spans="18:18" ht="13.8">
      <c r="R1431" s="10">
        <v>1403</v>
      </c>
    </row>
    <row r="1432" spans="18:18" ht="13.8">
      <c r="R1432" s="10">
        <v>1404</v>
      </c>
    </row>
    <row r="1433" spans="18:18" ht="13.8">
      <c r="R1433" s="10">
        <v>1405</v>
      </c>
    </row>
    <row r="1434" spans="18:18" ht="13.8">
      <c r="R1434" s="10">
        <v>1406</v>
      </c>
    </row>
    <row r="1435" spans="18:18" ht="13.8">
      <c r="R1435" s="10">
        <v>1407</v>
      </c>
    </row>
    <row r="1436" spans="18:18" ht="13.8">
      <c r="R1436" s="10">
        <v>1408</v>
      </c>
    </row>
    <row r="1437" spans="18:18" ht="13.8">
      <c r="R1437" s="10">
        <v>1409</v>
      </c>
    </row>
    <row r="1438" spans="18:18" ht="13.8">
      <c r="R1438" s="10">
        <v>1410</v>
      </c>
    </row>
    <row r="1439" spans="18:18" ht="13.8">
      <c r="R1439" s="10">
        <v>1411</v>
      </c>
    </row>
    <row r="1440" spans="18:18" ht="13.8">
      <c r="R1440" s="10">
        <v>1412</v>
      </c>
    </row>
    <row r="1441" spans="18:18" ht="13.8">
      <c r="R1441" s="10">
        <v>1413</v>
      </c>
    </row>
    <row r="1442" spans="18:18" ht="13.8">
      <c r="R1442" s="10">
        <v>1414</v>
      </c>
    </row>
    <row r="1443" spans="18:18" ht="13.8">
      <c r="R1443" s="10">
        <v>1415</v>
      </c>
    </row>
    <row r="1444" spans="18:18" ht="13.8">
      <c r="R1444" s="10">
        <v>1416</v>
      </c>
    </row>
    <row r="1445" spans="18:18" ht="13.8">
      <c r="R1445" s="10">
        <v>1417</v>
      </c>
    </row>
    <row r="1446" spans="18:18" ht="13.8">
      <c r="R1446" s="10">
        <v>1418</v>
      </c>
    </row>
    <row r="1447" spans="18:18" ht="13.8">
      <c r="R1447" s="10">
        <v>1419</v>
      </c>
    </row>
    <row r="1448" spans="18:18" ht="13.8">
      <c r="R1448" s="10">
        <v>1420</v>
      </c>
    </row>
    <row r="1449" spans="18:18" ht="13.8">
      <c r="R1449" s="10">
        <v>1421</v>
      </c>
    </row>
    <row r="1450" spans="18:18" ht="13.8">
      <c r="R1450" s="10">
        <v>1422</v>
      </c>
    </row>
    <row r="1451" spans="18:18" ht="13.8">
      <c r="R1451" s="10">
        <v>1423</v>
      </c>
    </row>
    <row r="1452" spans="18:18" ht="13.8">
      <c r="R1452" s="10">
        <v>1424</v>
      </c>
    </row>
    <row r="1453" spans="18:18" ht="13.8">
      <c r="R1453" s="10">
        <v>1425</v>
      </c>
    </row>
    <row r="1454" spans="18:18" ht="13.8">
      <c r="R1454" s="10">
        <v>1426</v>
      </c>
    </row>
    <row r="1455" spans="18:18" ht="13.8">
      <c r="R1455" s="10">
        <v>1427</v>
      </c>
    </row>
    <row r="1456" spans="18:18" ht="13.8">
      <c r="R1456" s="10">
        <v>1428</v>
      </c>
    </row>
    <row r="1457" spans="18:18" ht="13.8">
      <c r="R1457" s="10">
        <v>1429</v>
      </c>
    </row>
    <row r="1458" spans="18:18" ht="13.8">
      <c r="R1458" s="10">
        <v>1430</v>
      </c>
    </row>
    <row r="1459" spans="18:18" ht="13.8">
      <c r="R1459" s="10">
        <v>1431</v>
      </c>
    </row>
    <row r="1460" spans="18:18" ht="13.8">
      <c r="R1460" s="10">
        <v>1432</v>
      </c>
    </row>
    <row r="1461" spans="18:18" ht="13.8">
      <c r="R1461" s="10">
        <v>1433</v>
      </c>
    </row>
    <row r="1462" spans="18:18" ht="13.8">
      <c r="R1462" s="10">
        <v>1434</v>
      </c>
    </row>
    <row r="1463" spans="18:18" ht="13.8">
      <c r="R1463" s="10">
        <v>1435</v>
      </c>
    </row>
    <row r="1464" spans="18:18" ht="13.8">
      <c r="R1464" s="10">
        <v>1436</v>
      </c>
    </row>
    <row r="1465" spans="18:18" ht="13.8">
      <c r="R1465" s="10">
        <v>1437</v>
      </c>
    </row>
    <row r="1466" spans="18:18" ht="13.8">
      <c r="R1466" s="10">
        <v>1438</v>
      </c>
    </row>
    <row r="1467" spans="18:18" ht="13.8">
      <c r="R1467" s="10">
        <v>1439</v>
      </c>
    </row>
    <row r="1468" spans="18:18" ht="13.8">
      <c r="R1468" s="10">
        <v>1440</v>
      </c>
    </row>
    <row r="1469" spans="18:18" ht="13.8">
      <c r="R1469" s="10">
        <v>1441</v>
      </c>
    </row>
    <row r="1470" spans="18:18" ht="13.8">
      <c r="R1470" s="10">
        <v>1442</v>
      </c>
    </row>
    <row r="1471" spans="18:18" ht="13.8">
      <c r="R1471" s="10">
        <v>1443</v>
      </c>
    </row>
    <row r="1472" spans="18:18" ht="13.8">
      <c r="R1472" s="10">
        <v>1444</v>
      </c>
    </row>
    <row r="1473" spans="18:18" ht="13.8">
      <c r="R1473" s="10">
        <v>1445</v>
      </c>
    </row>
    <row r="1474" spans="18:18" ht="13.8">
      <c r="R1474" s="10">
        <v>1446</v>
      </c>
    </row>
    <row r="1475" spans="18:18" ht="13.8">
      <c r="R1475" s="10">
        <v>1447</v>
      </c>
    </row>
    <row r="1476" spans="18:18" ht="13.8">
      <c r="R1476" s="10">
        <v>1448</v>
      </c>
    </row>
    <row r="1477" spans="18:18" ht="13.8">
      <c r="R1477" s="10">
        <v>1449</v>
      </c>
    </row>
    <row r="1478" spans="18:18" ht="13.8">
      <c r="R1478" s="10">
        <v>1450</v>
      </c>
    </row>
    <row r="1479" spans="18:18" ht="13.8">
      <c r="R1479" s="10">
        <v>1451</v>
      </c>
    </row>
    <row r="1480" spans="18:18" ht="13.8">
      <c r="R1480" s="10">
        <v>1452</v>
      </c>
    </row>
    <row r="1481" spans="18:18" ht="13.8">
      <c r="R1481" s="10">
        <v>1453</v>
      </c>
    </row>
    <row r="1482" spans="18:18" ht="13.8">
      <c r="R1482" s="10">
        <v>1454</v>
      </c>
    </row>
    <row r="1483" spans="18:18" ht="13.8">
      <c r="R1483" s="10">
        <v>1455</v>
      </c>
    </row>
    <row r="1484" spans="18:18" ht="13.8">
      <c r="R1484" s="10">
        <v>1456</v>
      </c>
    </row>
    <row r="1485" spans="18:18" ht="13.8">
      <c r="R1485" s="10">
        <v>1457</v>
      </c>
    </row>
    <row r="1486" spans="18:18" ht="13.8">
      <c r="R1486" s="10">
        <v>1458</v>
      </c>
    </row>
    <row r="1487" spans="18:18" ht="13.8">
      <c r="R1487" s="10">
        <v>1459</v>
      </c>
    </row>
    <row r="1488" spans="18:18" ht="13.8">
      <c r="R1488" s="10">
        <v>1460</v>
      </c>
    </row>
    <row r="1489" spans="18:18" ht="13.8">
      <c r="R1489" s="10">
        <v>1461</v>
      </c>
    </row>
    <row r="1490" spans="18:18" ht="13.8">
      <c r="R1490" s="10">
        <v>1462</v>
      </c>
    </row>
    <row r="1491" spans="18:18" ht="13.8">
      <c r="R1491" s="10">
        <v>1463</v>
      </c>
    </row>
    <row r="1492" spans="18:18" ht="13.8">
      <c r="R1492" s="10">
        <v>1464</v>
      </c>
    </row>
    <row r="1493" spans="18:18" ht="13.8">
      <c r="R1493" s="10">
        <v>1465</v>
      </c>
    </row>
    <row r="1494" spans="18:18" ht="13.8">
      <c r="R1494" s="10">
        <v>1466</v>
      </c>
    </row>
    <row r="1495" spans="18:18" ht="13.8">
      <c r="R1495" s="10">
        <v>1467</v>
      </c>
    </row>
    <row r="1496" spans="18:18" ht="13.8">
      <c r="R1496" s="10">
        <v>1468</v>
      </c>
    </row>
    <row r="1497" spans="18:18" ht="13.8">
      <c r="R1497" s="10">
        <v>1469</v>
      </c>
    </row>
    <row r="1498" spans="18:18" ht="13.8">
      <c r="R1498" s="10">
        <v>1470</v>
      </c>
    </row>
    <row r="1499" spans="18:18" ht="13.8">
      <c r="R1499" s="10">
        <v>1471</v>
      </c>
    </row>
    <row r="1500" spans="18:18" ht="13.8">
      <c r="R1500" s="10">
        <v>1472</v>
      </c>
    </row>
    <row r="1501" spans="18:18" ht="13.8">
      <c r="R1501" s="10">
        <v>1473</v>
      </c>
    </row>
    <row r="1502" spans="18:18" ht="13.8">
      <c r="R1502" s="10">
        <v>1474</v>
      </c>
    </row>
    <row r="1503" spans="18:18" ht="13.8">
      <c r="R1503" s="10">
        <v>1475</v>
      </c>
    </row>
    <row r="1504" spans="18:18" ht="13.8">
      <c r="R1504" s="10">
        <v>1476</v>
      </c>
    </row>
    <row r="1505" spans="18:18" ht="13.8">
      <c r="R1505" s="10">
        <v>1477</v>
      </c>
    </row>
    <row r="1506" spans="18:18" ht="13.8">
      <c r="R1506" s="10">
        <v>1478</v>
      </c>
    </row>
    <row r="1507" spans="18:18" ht="13.8">
      <c r="R1507" s="10">
        <v>1479</v>
      </c>
    </row>
    <row r="1508" spans="18:18" ht="13.8">
      <c r="R1508" s="10">
        <v>1480</v>
      </c>
    </row>
    <row r="1509" spans="18:18" ht="13.8">
      <c r="R1509" s="10">
        <v>1481</v>
      </c>
    </row>
    <row r="1510" spans="18:18" ht="13.8">
      <c r="R1510" s="10">
        <v>1482</v>
      </c>
    </row>
    <row r="1511" spans="18:18" ht="13.8">
      <c r="R1511" s="10">
        <v>1483</v>
      </c>
    </row>
    <row r="1512" spans="18:18" ht="13.8">
      <c r="R1512" s="10">
        <v>1484</v>
      </c>
    </row>
    <row r="1513" spans="18:18" ht="13.8">
      <c r="R1513" s="10">
        <v>1485</v>
      </c>
    </row>
    <row r="1514" spans="18:18" ht="13.8">
      <c r="R1514" s="10">
        <v>1486</v>
      </c>
    </row>
    <row r="1515" spans="18:18" ht="13.8">
      <c r="R1515" s="10">
        <v>1487</v>
      </c>
    </row>
    <row r="1516" spans="18:18" ht="13.8">
      <c r="R1516" s="10">
        <v>1488</v>
      </c>
    </row>
    <row r="1517" spans="18:18" ht="13.8">
      <c r="R1517" s="10">
        <v>1489</v>
      </c>
    </row>
    <row r="1518" spans="18:18" ht="13.8">
      <c r="R1518" s="10">
        <v>1490</v>
      </c>
    </row>
    <row r="1519" spans="18:18" ht="13.8">
      <c r="R1519" s="10">
        <v>1491</v>
      </c>
    </row>
    <row r="1520" spans="18:18" ht="13.8">
      <c r="R1520" s="10">
        <v>1492</v>
      </c>
    </row>
    <row r="1521" spans="18:18" ht="13.8">
      <c r="R1521" s="10">
        <v>1493</v>
      </c>
    </row>
    <row r="1522" spans="18:18" ht="13.8">
      <c r="R1522" s="10">
        <v>1494</v>
      </c>
    </row>
    <row r="1523" spans="18:18" ht="13.8">
      <c r="R1523" s="10">
        <v>1495</v>
      </c>
    </row>
    <row r="1524" spans="18:18" ht="13.8">
      <c r="R1524" s="10">
        <v>1496</v>
      </c>
    </row>
    <row r="1525" spans="18:18" ht="13.8">
      <c r="R1525" s="10">
        <v>1497</v>
      </c>
    </row>
    <row r="1526" spans="18:18" ht="13.8">
      <c r="R1526" s="10">
        <v>1498</v>
      </c>
    </row>
    <row r="1527" spans="18:18" ht="13.8">
      <c r="R1527" s="10">
        <v>1499</v>
      </c>
    </row>
    <row r="1528" spans="18:18" ht="13.8">
      <c r="R1528" s="10">
        <v>1500</v>
      </c>
    </row>
    <row r="1529" spans="18:18" ht="13.8">
      <c r="R1529" s="10">
        <v>1501</v>
      </c>
    </row>
    <row r="1530" spans="18:18" ht="13.8">
      <c r="R1530" s="10">
        <v>1502</v>
      </c>
    </row>
    <row r="1531" spans="18:18" ht="13.8">
      <c r="R1531" s="10">
        <v>1503</v>
      </c>
    </row>
    <row r="1532" spans="18:18" ht="13.8">
      <c r="R1532" s="10">
        <v>1504</v>
      </c>
    </row>
    <row r="1533" spans="18:18" ht="13.8">
      <c r="R1533" s="10">
        <v>1505</v>
      </c>
    </row>
    <row r="1534" spans="18:18" ht="13.8">
      <c r="R1534" s="10">
        <v>1506</v>
      </c>
    </row>
    <row r="1535" spans="18:18" ht="13.8">
      <c r="R1535" s="10">
        <v>1507</v>
      </c>
    </row>
    <row r="1536" spans="18:18" ht="13.8">
      <c r="R1536" s="10">
        <v>1508</v>
      </c>
    </row>
    <row r="1537" spans="18:18" ht="13.8">
      <c r="R1537" s="10">
        <v>1509</v>
      </c>
    </row>
    <row r="1538" spans="18:18" ht="13.8">
      <c r="R1538" s="10">
        <v>1510</v>
      </c>
    </row>
    <row r="1539" spans="18:18" ht="13.8">
      <c r="R1539" s="10">
        <v>1511</v>
      </c>
    </row>
    <row r="1540" spans="18:18" ht="13.8">
      <c r="R1540" s="10">
        <v>1512</v>
      </c>
    </row>
    <row r="1541" spans="18:18" ht="13.8">
      <c r="R1541" s="10">
        <v>1513</v>
      </c>
    </row>
    <row r="1542" spans="18:18" ht="13.8">
      <c r="R1542" s="10">
        <v>1514</v>
      </c>
    </row>
    <row r="1543" spans="18:18" ht="13.8">
      <c r="R1543" s="10">
        <v>1515</v>
      </c>
    </row>
    <row r="1544" spans="18:18" ht="13.8">
      <c r="R1544" s="10">
        <v>1516</v>
      </c>
    </row>
    <row r="1545" spans="18:18" ht="13.8">
      <c r="R1545" s="10">
        <v>1517</v>
      </c>
    </row>
    <row r="1546" spans="18:18" ht="13.8">
      <c r="R1546" s="10">
        <v>1518</v>
      </c>
    </row>
    <row r="1547" spans="18:18" ht="13.8">
      <c r="R1547" s="10">
        <v>1519</v>
      </c>
    </row>
    <row r="1548" spans="18:18" ht="13.8">
      <c r="R1548" s="10">
        <v>1520</v>
      </c>
    </row>
    <row r="1549" spans="18:18" ht="13.8">
      <c r="R1549" s="10">
        <v>1521</v>
      </c>
    </row>
    <row r="1550" spans="18:18" ht="13.8">
      <c r="R1550" s="10">
        <v>1522</v>
      </c>
    </row>
    <row r="1551" spans="18:18" ht="13.8">
      <c r="R1551" s="10">
        <v>1523</v>
      </c>
    </row>
    <row r="1552" spans="18:18" ht="13.8">
      <c r="R1552" s="10">
        <v>1524</v>
      </c>
    </row>
    <row r="1553" spans="18:18" ht="13.8">
      <c r="R1553" s="10">
        <v>1525</v>
      </c>
    </row>
    <row r="1554" spans="18:18" ht="13.8">
      <c r="R1554" s="10">
        <v>1526</v>
      </c>
    </row>
    <row r="1555" spans="18:18" ht="13.8">
      <c r="R1555" s="10">
        <v>1527</v>
      </c>
    </row>
    <row r="1556" spans="18:18" ht="13.8">
      <c r="R1556" s="10">
        <v>1528</v>
      </c>
    </row>
    <row r="1557" spans="18:18" ht="13.8">
      <c r="R1557" s="10">
        <v>1529</v>
      </c>
    </row>
    <row r="1558" spans="18:18" ht="13.8">
      <c r="R1558" s="10">
        <v>1530</v>
      </c>
    </row>
    <row r="1559" spans="18:18" ht="13.8">
      <c r="R1559" s="10">
        <v>1531</v>
      </c>
    </row>
    <row r="1560" spans="18:18" ht="13.8">
      <c r="R1560" s="10">
        <v>1532</v>
      </c>
    </row>
    <row r="1561" spans="18:18" ht="13.8">
      <c r="R1561" s="10">
        <v>1533</v>
      </c>
    </row>
    <row r="1562" spans="18:18" ht="13.8">
      <c r="R1562" s="10">
        <v>1534</v>
      </c>
    </row>
    <row r="1563" spans="18:18" ht="13.8">
      <c r="R1563" s="10">
        <v>1535</v>
      </c>
    </row>
    <row r="1564" spans="18:18" ht="13.8">
      <c r="R1564" s="10">
        <v>1536</v>
      </c>
    </row>
    <row r="1565" spans="18:18" ht="13.8">
      <c r="R1565" s="10">
        <v>1537</v>
      </c>
    </row>
    <row r="1566" spans="18:18" ht="13.8">
      <c r="R1566" s="10">
        <v>1538</v>
      </c>
    </row>
    <row r="1567" spans="18:18" ht="13.8">
      <c r="R1567" s="10">
        <v>1539</v>
      </c>
    </row>
    <row r="1568" spans="18:18" ht="13.8">
      <c r="R1568" s="10">
        <v>1540</v>
      </c>
    </row>
    <row r="1569" spans="18:18" ht="13.8">
      <c r="R1569" s="10">
        <v>1541</v>
      </c>
    </row>
    <row r="1570" spans="18:18" ht="13.8">
      <c r="R1570" s="10">
        <v>1542</v>
      </c>
    </row>
    <row r="1571" spans="18:18" ht="13.8">
      <c r="R1571" s="10">
        <v>1543</v>
      </c>
    </row>
    <row r="1572" spans="18:18" ht="13.8">
      <c r="R1572" s="10">
        <v>1544</v>
      </c>
    </row>
    <row r="1573" spans="18:18" ht="13.8">
      <c r="R1573" s="10">
        <v>1545</v>
      </c>
    </row>
    <row r="1574" spans="18:18" ht="13.8">
      <c r="R1574" s="10">
        <v>1546</v>
      </c>
    </row>
    <row r="1575" spans="18:18" ht="13.8">
      <c r="R1575" s="10">
        <v>1547</v>
      </c>
    </row>
    <row r="1576" spans="18:18" ht="13.8">
      <c r="R1576" s="10">
        <v>1548</v>
      </c>
    </row>
    <row r="1577" spans="18:18" ht="13.8">
      <c r="R1577" s="10">
        <v>1549</v>
      </c>
    </row>
    <row r="1578" spans="18:18" ht="13.8">
      <c r="R1578" s="10">
        <v>1550</v>
      </c>
    </row>
    <row r="1579" spans="18:18" ht="13.8">
      <c r="R1579" s="10">
        <v>1551</v>
      </c>
    </row>
    <row r="1580" spans="18:18" ht="13.8">
      <c r="R1580" s="10">
        <v>1552</v>
      </c>
    </row>
    <row r="1581" spans="18:18" ht="13.8">
      <c r="R1581" s="10">
        <v>1553</v>
      </c>
    </row>
    <row r="1582" spans="18:18" ht="13.8">
      <c r="R1582" s="10">
        <v>1554</v>
      </c>
    </row>
    <row r="1583" spans="18:18" ht="13.8">
      <c r="R1583" s="10">
        <v>1555</v>
      </c>
    </row>
    <row r="1584" spans="18:18" ht="13.8">
      <c r="R1584" s="10">
        <v>1556</v>
      </c>
    </row>
    <row r="1585" spans="18:18" ht="13.8">
      <c r="R1585" s="10">
        <v>1557</v>
      </c>
    </row>
    <row r="1586" spans="18:18" ht="13.8">
      <c r="R1586" s="10">
        <v>1558</v>
      </c>
    </row>
    <row r="1587" spans="18:18" ht="13.8">
      <c r="R1587" s="10">
        <v>1559</v>
      </c>
    </row>
    <row r="1588" spans="18:18" ht="13.8">
      <c r="R1588" s="10">
        <v>1560</v>
      </c>
    </row>
    <row r="1589" spans="18:18" ht="13.8">
      <c r="R1589" s="10">
        <v>1561</v>
      </c>
    </row>
    <row r="1590" spans="18:18" ht="13.8">
      <c r="R1590" s="10">
        <v>1562</v>
      </c>
    </row>
    <row r="1591" spans="18:18" ht="13.8">
      <c r="R1591" s="10">
        <v>1563</v>
      </c>
    </row>
    <row r="1592" spans="18:18" ht="13.8">
      <c r="R1592" s="10">
        <v>1564</v>
      </c>
    </row>
    <row r="1593" spans="18:18" ht="13.8">
      <c r="R1593" s="10">
        <v>1565</v>
      </c>
    </row>
    <row r="1594" spans="18:18" ht="13.8">
      <c r="R1594" s="10">
        <v>1566</v>
      </c>
    </row>
    <row r="1595" spans="18:18" ht="13.8">
      <c r="R1595" s="10">
        <v>1567</v>
      </c>
    </row>
    <row r="1596" spans="18:18" ht="13.8">
      <c r="R1596" s="10">
        <v>1568</v>
      </c>
    </row>
    <row r="1597" spans="18:18" ht="13.8">
      <c r="R1597" s="10">
        <v>1569</v>
      </c>
    </row>
    <row r="1598" spans="18:18" ht="13.8">
      <c r="R1598" s="10">
        <v>1570</v>
      </c>
    </row>
    <row r="1599" spans="18:18" ht="13.8">
      <c r="R1599" s="10">
        <v>1571</v>
      </c>
    </row>
    <row r="1600" spans="18:18" ht="13.8">
      <c r="R1600" s="10">
        <v>1572</v>
      </c>
    </row>
    <row r="1601" spans="18:18" ht="13.8">
      <c r="R1601" s="10">
        <v>1573</v>
      </c>
    </row>
    <row r="1602" spans="18:18" ht="13.8">
      <c r="R1602" s="10">
        <v>1574</v>
      </c>
    </row>
    <row r="1603" spans="18:18" ht="13.8">
      <c r="R1603" s="10">
        <v>1575</v>
      </c>
    </row>
    <row r="1604" spans="18:18" ht="13.8">
      <c r="R1604" s="10">
        <v>1576</v>
      </c>
    </row>
    <row r="1605" spans="18:18" ht="13.8">
      <c r="R1605" s="10">
        <v>1577</v>
      </c>
    </row>
    <row r="1606" spans="18:18" ht="13.8">
      <c r="R1606" s="10">
        <v>1578</v>
      </c>
    </row>
    <row r="1607" spans="18:18" ht="13.8">
      <c r="R1607" s="10">
        <v>1579</v>
      </c>
    </row>
    <row r="1608" spans="18:18" ht="13.8">
      <c r="R1608" s="10">
        <v>1580</v>
      </c>
    </row>
    <row r="1609" spans="18:18" ht="13.8">
      <c r="R1609" s="10">
        <v>1581</v>
      </c>
    </row>
    <row r="1610" spans="18:18" ht="13.8">
      <c r="R1610" s="10">
        <v>1582</v>
      </c>
    </row>
    <row r="1611" spans="18:18" ht="13.8">
      <c r="R1611" s="10">
        <v>1583</v>
      </c>
    </row>
    <row r="1612" spans="18:18" ht="13.8">
      <c r="R1612" s="10">
        <v>1584</v>
      </c>
    </row>
    <row r="1613" spans="18:18" ht="13.8">
      <c r="R1613" s="10">
        <v>1585</v>
      </c>
    </row>
    <row r="1614" spans="18:18" ht="13.8">
      <c r="R1614" s="10">
        <v>1586</v>
      </c>
    </row>
    <row r="1615" spans="18:18" ht="13.8">
      <c r="R1615" s="10">
        <v>1587</v>
      </c>
    </row>
    <row r="1616" spans="18:18" ht="13.8">
      <c r="R1616" s="10">
        <v>1588</v>
      </c>
    </row>
    <row r="1617" spans="18:18" ht="13.8">
      <c r="R1617" s="10">
        <v>1589</v>
      </c>
    </row>
    <row r="1618" spans="18:18" ht="13.8">
      <c r="R1618" s="10">
        <v>1590</v>
      </c>
    </row>
    <row r="1619" spans="18:18" ht="13.8">
      <c r="R1619" s="10">
        <v>1591</v>
      </c>
    </row>
    <row r="1620" spans="18:18" ht="13.8">
      <c r="R1620" s="10">
        <v>1592</v>
      </c>
    </row>
    <row r="1621" spans="18:18" ht="13.8">
      <c r="R1621" s="10">
        <v>1593</v>
      </c>
    </row>
    <row r="1622" spans="18:18" ht="13.8">
      <c r="R1622" s="10">
        <v>1594</v>
      </c>
    </row>
    <row r="1623" spans="18:18" ht="13.8">
      <c r="R1623" s="10">
        <v>1595</v>
      </c>
    </row>
    <row r="1624" spans="18:18" ht="13.8">
      <c r="R1624" s="10">
        <v>1596</v>
      </c>
    </row>
    <row r="1625" spans="18:18" ht="13.8">
      <c r="R1625" s="10">
        <v>1597</v>
      </c>
    </row>
    <row r="1626" spans="18:18" ht="13.8">
      <c r="R1626" s="10">
        <v>1598</v>
      </c>
    </row>
    <row r="1627" spans="18:18" ht="13.8">
      <c r="R1627" s="10">
        <v>1599</v>
      </c>
    </row>
    <row r="1628" spans="18:18" ht="13.8">
      <c r="R1628" s="10">
        <v>1600</v>
      </c>
    </row>
    <row r="1629" spans="18:18" ht="13.8">
      <c r="R1629" s="10">
        <v>1601</v>
      </c>
    </row>
    <row r="1630" spans="18:18" ht="13.8">
      <c r="R1630" s="10">
        <v>1602</v>
      </c>
    </row>
    <row r="1631" spans="18:18" ht="13.8">
      <c r="R1631" s="10">
        <v>1603</v>
      </c>
    </row>
    <row r="1632" spans="18:18" ht="13.8">
      <c r="R1632" s="10">
        <v>1604</v>
      </c>
    </row>
    <row r="1633" spans="18:18" ht="13.8">
      <c r="R1633" s="10">
        <v>1605</v>
      </c>
    </row>
    <row r="1634" spans="18:18" ht="13.8">
      <c r="R1634" s="10">
        <v>1606</v>
      </c>
    </row>
    <row r="1635" spans="18:18" ht="13.8">
      <c r="R1635" s="10">
        <v>1607</v>
      </c>
    </row>
    <row r="1636" spans="18:18" ht="13.8">
      <c r="R1636" s="10">
        <v>1608</v>
      </c>
    </row>
    <row r="1637" spans="18:18" ht="13.8">
      <c r="R1637" s="10">
        <v>1609</v>
      </c>
    </row>
    <row r="1638" spans="18:18" ht="13.8">
      <c r="R1638" s="10">
        <v>1610</v>
      </c>
    </row>
    <row r="1639" spans="18:18" ht="13.8">
      <c r="R1639" s="10">
        <v>1611</v>
      </c>
    </row>
    <row r="1640" spans="18:18" ht="13.8">
      <c r="R1640" s="10">
        <v>1612</v>
      </c>
    </row>
    <row r="1641" spans="18:18" ht="13.8">
      <c r="R1641" s="10">
        <v>1613</v>
      </c>
    </row>
    <row r="1642" spans="18:18" ht="13.8">
      <c r="R1642" s="10">
        <v>1614</v>
      </c>
    </row>
    <row r="1643" spans="18:18" ht="13.8">
      <c r="R1643" s="10">
        <v>1615</v>
      </c>
    </row>
    <row r="1644" spans="18:18" ht="13.8">
      <c r="R1644" s="10">
        <v>1616</v>
      </c>
    </row>
    <row r="1645" spans="18:18" ht="13.8">
      <c r="R1645" s="10">
        <v>1617</v>
      </c>
    </row>
    <row r="1646" spans="18:18" ht="13.8">
      <c r="R1646" s="10">
        <v>1618</v>
      </c>
    </row>
    <row r="1647" spans="18:18" ht="13.8">
      <c r="R1647" s="10">
        <v>1619</v>
      </c>
    </row>
    <row r="1648" spans="18:18" ht="13.8">
      <c r="R1648" s="10">
        <v>1620</v>
      </c>
    </row>
    <row r="1649" spans="18:18" ht="13.8">
      <c r="R1649" s="10">
        <v>1621</v>
      </c>
    </row>
    <row r="1650" spans="18:18" ht="13.8">
      <c r="R1650" s="10">
        <v>1622</v>
      </c>
    </row>
    <row r="1651" spans="18:18" ht="13.8">
      <c r="R1651" s="10">
        <v>1623</v>
      </c>
    </row>
    <row r="1652" spans="18:18" ht="13.8">
      <c r="R1652" s="10">
        <v>1624</v>
      </c>
    </row>
    <row r="1653" spans="18:18" ht="13.8">
      <c r="R1653" s="10">
        <v>1625</v>
      </c>
    </row>
    <row r="1654" spans="18:18" ht="13.8">
      <c r="R1654" s="10">
        <v>1626</v>
      </c>
    </row>
    <row r="1655" spans="18:18" ht="13.8">
      <c r="R1655" s="10">
        <v>1627</v>
      </c>
    </row>
    <row r="1656" spans="18:18" ht="13.8">
      <c r="R1656" s="10">
        <v>1628</v>
      </c>
    </row>
    <row r="1657" spans="18:18" ht="13.8">
      <c r="R1657" s="10">
        <v>1629</v>
      </c>
    </row>
    <row r="1658" spans="18:18" ht="13.8">
      <c r="R1658" s="10">
        <v>1630</v>
      </c>
    </row>
    <row r="1659" spans="18:18" ht="13.8">
      <c r="R1659" s="10">
        <v>1631</v>
      </c>
    </row>
    <row r="1660" spans="18:18" ht="13.8">
      <c r="R1660" s="10">
        <v>1632</v>
      </c>
    </row>
    <row r="1661" spans="18:18" ht="13.8">
      <c r="R1661" s="10">
        <v>1633</v>
      </c>
    </row>
    <row r="1662" spans="18:18" ht="13.8">
      <c r="R1662" s="10">
        <v>1634</v>
      </c>
    </row>
    <row r="1663" spans="18:18" ht="13.8">
      <c r="R1663" s="10">
        <v>1635</v>
      </c>
    </row>
    <row r="1664" spans="18:18" ht="13.8">
      <c r="R1664" s="10">
        <v>1636</v>
      </c>
    </row>
    <row r="1665" spans="18:18" ht="13.8">
      <c r="R1665" s="10">
        <v>1637</v>
      </c>
    </row>
    <row r="1666" spans="18:18" ht="13.8">
      <c r="R1666" s="10">
        <v>1638</v>
      </c>
    </row>
    <row r="1667" spans="18:18" ht="13.8">
      <c r="R1667" s="10">
        <v>1639</v>
      </c>
    </row>
    <row r="1668" spans="18:18" ht="13.8">
      <c r="R1668" s="10">
        <v>1640</v>
      </c>
    </row>
    <row r="1669" spans="18:18" ht="13.8">
      <c r="R1669" s="10">
        <v>1641</v>
      </c>
    </row>
    <row r="1670" spans="18:18" ht="13.8">
      <c r="R1670" s="10">
        <v>1642</v>
      </c>
    </row>
    <row r="1671" spans="18:18" ht="13.8">
      <c r="R1671" s="10">
        <v>1643</v>
      </c>
    </row>
    <row r="1672" spans="18:18" ht="13.8">
      <c r="R1672" s="10">
        <v>1644</v>
      </c>
    </row>
    <row r="1673" spans="18:18" ht="13.8">
      <c r="R1673" s="10">
        <v>1645</v>
      </c>
    </row>
    <row r="1674" spans="18:18" ht="13.8">
      <c r="R1674" s="10">
        <v>1646</v>
      </c>
    </row>
    <row r="1675" spans="18:18" ht="13.8">
      <c r="R1675" s="10">
        <v>1647</v>
      </c>
    </row>
    <row r="1676" spans="18:18" ht="13.8">
      <c r="R1676" s="10">
        <v>1648</v>
      </c>
    </row>
    <row r="1677" spans="18:18" ht="13.8">
      <c r="R1677" s="10">
        <v>1649</v>
      </c>
    </row>
    <row r="1678" spans="18:18" ht="13.8">
      <c r="R1678" s="10">
        <v>1650</v>
      </c>
    </row>
    <row r="1679" spans="18:18" ht="13.8">
      <c r="R1679" s="10">
        <v>1651</v>
      </c>
    </row>
    <row r="1680" spans="18:18" ht="13.8">
      <c r="R1680" s="10">
        <v>1652</v>
      </c>
    </row>
    <row r="1681" spans="18:18" ht="13.8">
      <c r="R1681" s="10">
        <v>1653</v>
      </c>
    </row>
    <row r="1682" spans="18:18" ht="13.8">
      <c r="R1682" s="10">
        <v>1654</v>
      </c>
    </row>
    <row r="1683" spans="18:18" ht="13.8">
      <c r="R1683" s="10">
        <v>1655</v>
      </c>
    </row>
    <row r="1684" spans="18:18" ht="13.8">
      <c r="R1684" s="10">
        <v>1656</v>
      </c>
    </row>
    <row r="1685" spans="18:18" ht="13.8">
      <c r="R1685" s="10">
        <v>1657</v>
      </c>
    </row>
    <row r="1686" spans="18:18" ht="13.8">
      <c r="R1686" s="10">
        <v>1658</v>
      </c>
    </row>
    <row r="1687" spans="18:18" ht="13.8">
      <c r="R1687" s="10">
        <v>1659</v>
      </c>
    </row>
    <row r="1688" spans="18:18" ht="13.8">
      <c r="R1688" s="10">
        <v>1660</v>
      </c>
    </row>
    <row r="1689" spans="18:18" ht="13.8">
      <c r="R1689" s="10">
        <v>1661</v>
      </c>
    </row>
    <row r="1690" spans="18:18" ht="13.8">
      <c r="R1690" s="10">
        <v>1662</v>
      </c>
    </row>
    <row r="1691" spans="18:18" ht="13.8">
      <c r="R1691" s="10">
        <v>1663</v>
      </c>
    </row>
    <row r="1692" spans="18:18" ht="13.8">
      <c r="R1692" s="10">
        <v>1664</v>
      </c>
    </row>
    <row r="1693" spans="18:18" ht="13.8">
      <c r="R1693" s="10">
        <v>1665</v>
      </c>
    </row>
    <row r="1694" spans="18:18" ht="13.8">
      <c r="R1694" s="10">
        <v>1666</v>
      </c>
    </row>
    <row r="1695" spans="18:18" ht="13.8">
      <c r="R1695" s="10">
        <v>1667</v>
      </c>
    </row>
    <row r="1696" spans="18:18" ht="13.8">
      <c r="R1696" s="10">
        <v>1668</v>
      </c>
    </row>
    <row r="1697" spans="18:18" ht="13.8">
      <c r="R1697" s="10">
        <v>1669</v>
      </c>
    </row>
    <row r="1698" spans="18:18" ht="13.8">
      <c r="R1698" s="10">
        <v>1670</v>
      </c>
    </row>
    <row r="1699" spans="18:18" ht="13.8">
      <c r="R1699" s="10">
        <v>1671</v>
      </c>
    </row>
    <row r="1700" spans="18:18" ht="13.8">
      <c r="R1700" s="10">
        <v>1672</v>
      </c>
    </row>
    <row r="1701" spans="18:18" ht="13.8">
      <c r="R1701" s="10">
        <v>1673</v>
      </c>
    </row>
    <row r="1702" spans="18:18" ht="13.8">
      <c r="R1702" s="10">
        <v>1674</v>
      </c>
    </row>
    <row r="1703" spans="18:18" ht="13.8">
      <c r="R1703" s="10">
        <v>1675</v>
      </c>
    </row>
    <row r="1704" spans="18:18" ht="13.8">
      <c r="R1704" s="10">
        <v>1676</v>
      </c>
    </row>
    <row r="1705" spans="18:18" ht="13.8">
      <c r="R1705" s="10">
        <v>1677</v>
      </c>
    </row>
    <row r="1706" spans="18:18" ht="13.8">
      <c r="R1706" s="10">
        <v>1678</v>
      </c>
    </row>
    <row r="1707" spans="18:18" ht="13.8">
      <c r="R1707" s="10">
        <v>1679</v>
      </c>
    </row>
    <row r="1708" spans="18:18" ht="13.8">
      <c r="R1708" s="10">
        <v>1680</v>
      </c>
    </row>
    <row r="1709" spans="18:18" ht="13.8">
      <c r="R1709" s="10">
        <v>1681</v>
      </c>
    </row>
    <row r="1710" spans="18:18" ht="13.8">
      <c r="R1710" s="10">
        <v>1682</v>
      </c>
    </row>
    <row r="1711" spans="18:18" ht="13.8">
      <c r="R1711" s="10">
        <v>1683</v>
      </c>
    </row>
    <row r="1712" spans="18:18" ht="13.8">
      <c r="R1712" s="10">
        <v>1684</v>
      </c>
    </row>
    <row r="1713" spans="18:18" ht="13.8">
      <c r="R1713" s="10">
        <v>1685</v>
      </c>
    </row>
    <row r="1714" spans="18:18" ht="13.8">
      <c r="R1714" s="10">
        <v>1686</v>
      </c>
    </row>
    <row r="1715" spans="18:18" ht="13.8">
      <c r="R1715" s="10">
        <v>1687</v>
      </c>
    </row>
    <row r="1716" spans="18:18" ht="13.8">
      <c r="R1716" s="10">
        <v>1688</v>
      </c>
    </row>
    <row r="1717" spans="18:18" ht="13.8">
      <c r="R1717" s="10">
        <v>1689</v>
      </c>
    </row>
    <row r="1718" spans="18:18" ht="13.8">
      <c r="R1718" s="10">
        <v>1690</v>
      </c>
    </row>
    <row r="1719" spans="18:18" ht="13.8">
      <c r="R1719" s="10">
        <v>1691</v>
      </c>
    </row>
    <row r="1720" spans="18:18" ht="13.8">
      <c r="R1720" s="10">
        <v>1692</v>
      </c>
    </row>
    <row r="1721" spans="18:18" ht="13.8">
      <c r="R1721" s="10">
        <v>1693</v>
      </c>
    </row>
    <row r="1722" spans="18:18" ht="13.8">
      <c r="R1722" s="10">
        <v>1694</v>
      </c>
    </row>
    <row r="1723" spans="18:18" ht="13.8">
      <c r="R1723" s="10">
        <v>1695</v>
      </c>
    </row>
    <row r="1724" spans="18:18" ht="13.8">
      <c r="R1724" s="10">
        <v>1696</v>
      </c>
    </row>
    <row r="1725" spans="18:18" ht="13.8">
      <c r="R1725" s="10">
        <v>1697</v>
      </c>
    </row>
    <row r="1726" spans="18:18" ht="13.8">
      <c r="R1726" s="10">
        <v>1698</v>
      </c>
    </row>
    <row r="1727" spans="18:18" ht="13.8">
      <c r="R1727" s="10">
        <v>1699</v>
      </c>
    </row>
    <row r="1728" spans="18:18" ht="13.8">
      <c r="R1728" s="10">
        <v>1700</v>
      </c>
    </row>
    <row r="1729" spans="18:18" ht="13.8">
      <c r="R1729" s="10">
        <v>1701</v>
      </c>
    </row>
    <row r="1730" spans="18:18" ht="13.8">
      <c r="R1730" s="10">
        <v>1702</v>
      </c>
    </row>
    <row r="1731" spans="18:18" ht="13.8">
      <c r="R1731" s="10">
        <v>1703</v>
      </c>
    </row>
    <row r="1732" spans="18:18" ht="13.8">
      <c r="R1732" s="10">
        <v>1704</v>
      </c>
    </row>
    <row r="1733" spans="18:18" ht="13.8">
      <c r="R1733" s="10">
        <v>1705</v>
      </c>
    </row>
    <row r="1734" spans="18:18" ht="13.8">
      <c r="R1734" s="10">
        <v>1706</v>
      </c>
    </row>
    <row r="1735" spans="18:18" ht="13.8">
      <c r="R1735" s="10">
        <v>1707</v>
      </c>
    </row>
    <row r="1736" spans="18:18" ht="13.8">
      <c r="R1736" s="10">
        <v>1708</v>
      </c>
    </row>
    <row r="1737" spans="18:18" ht="13.8">
      <c r="R1737" s="10">
        <v>1709</v>
      </c>
    </row>
    <row r="1738" spans="18:18" ht="13.8">
      <c r="R1738" s="10">
        <v>1710</v>
      </c>
    </row>
    <row r="1739" spans="18:18" ht="13.8">
      <c r="R1739" s="10">
        <v>1711</v>
      </c>
    </row>
    <row r="1740" spans="18:18" ht="13.8">
      <c r="R1740" s="10">
        <v>1712</v>
      </c>
    </row>
    <row r="1741" spans="18:18" ht="13.8">
      <c r="R1741" s="10">
        <v>1713</v>
      </c>
    </row>
    <row r="1742" spans="18:18" ht="13.8">
      <c r="R1742" s="10">
        <v>1714</v>
      </c>
    </row>
    <row r="1743" spans="18:18" ht="13.8">
      <c r="R1743" s="10">
        <v>1715</v>
      </c>
    </row>
    <row r="1744" spans="18:18" ht="13.8">
      <c r="R1744" s="10">
        <v>1716</v>
      </c>
    </row>
    <row r="1745" spans="18:18" ht="13.8">
      <c r="R1745" s="10">
        <v>1717</v>
      </c>
    </row>
    <row r="1746" spans="18:18" ht="13.8">
      <c r="R1746" s="10">
        <v>1718</v>
      </c>
    </row>
    <row r="1747" spans="18:18" ht="13.8">
      <c r="R1747" s="10">
        <v>1719</v>
      </c>
    </row>
    <row r="1748" spans="18:18" ht="13.8">
      <c r="R1748" s="10">
        <v>1720</v>
      </c>
    </row>
    <row r="1749" spans="18:18" ht="13.8">
      <c r="R1749" s="10">
        <v>1721</v>
      </c>
    </row>
    <row r="1750" spans="18:18" ht="13.8">
      <c r="R1750" s="10">
        <v>1722</v>
      </c>
    </row>
    <row r="1751" spans="18:18" ht="13.8">
      <c r="R1751" s="10">
        <v>1723</v>
      </c>
    </row>
    <row r="1752" spans="18:18" ht="13.8">
      <c r="R1752" s="10">
        <v>1724</v>
      </c>
    </row>
    <row r="1753" spans="18:18" ht="13.8">
      <c r="R1753" s="10">
        <v>1725</v>
      </c>
    </row>
    <row r="1754" spans="18:18" ht="13.8">
      <c r="R1754" s="10">
        <v>1726</v>
      </c>
    </row>
    <row r="1755" spans="18:18" ht="13.8">
      <c r="R1755" s="10">
        <v>1727</v>
      </c>
    </row>
    <row r="1756" spans="18:18" ht="13.8">
      <c r="R1756" s="10">
        <v>1728</v>
      </c>
    </row>
    <row r="1757" spans="18:18" ht="13.8">
      <c r="R1757" s="10">
        <v>1729</v>
      </c>
    </row>
    <row r="1758" spans="18:18" ht="13.8">
      <c r="R1758" s="10">
        <v>1730</v>
      </c>
    </row>
    <row r="1759" spans="18:18" ht="13.8">
      <c r="R1759" s="10">
        <v>1731</v>
      </c>
    </row>
    <row r="1760" spans="18:18" ht="13.8">
      <c r="R1760" s="10">
        <v>1732</v>
      </c>
    </row>
    <row r="1761" spans="18:18" ht="13.8">
      <c r="R1761" s="10">
        <v>1733</v>
      </c>
    </row>
    <row r="1762" spans="18:18" ht="13.8">
      <c r="R1762" s="10">
        <v>1734</v>
      </c>
    </row>
    <row r="1763" spans="18:18" ht="13.8">
      <c r="R1763" s="10">
        <v>1735</v>
      </c>
    </row>
    <row r="1764" spans="18:18" ht="13.8">
      <c r="R1764" s="10">
        <v>1736</v>
      </c>
    </row>
    <row r="1765" spans="18:18" ht="13.8">
      <c r="R1765" s="10">
        <v>1737</v>
      </c>
    </row>
    <row r="1766" spans="18:18" ht="13.8">
      <c r="R1766" s="10">
        <v>1738</v>
      </c>
    </row>
    <row r="1767" spans="18:18" ht="13.8">
      <c r="R1767" s="10">
        <v>1739</v>
      </c>
    </row>
    <row r="1768" spans="18:18" ht="13.8">
      <c r="R1768" s="10">
        <v>1740</v>
      </c>
    </row>
    <row r="1769" spans="18:18" ht="13.8">
      <c r="R1769" s="10">
        <v>1741</v>
      </c>
    </row>
    <row r="1770" spans="18:18" ht="13.8">
      <c r="R1770" s="10">
        <v>1742</v>
      </c>
    </row>
    <row r="1771" spans="18:18" ht="13.8">
      <c r="R1771" s="10">
        <v>1743</v>
      </c>
    </row>
    <row r="1772" spans="18:18" ht="13.8">
      <c r="R1772" s="10">
        <v>1744</v>
      </c>
    </row>
    <row r="1773" spans="18:18" ht="13.8">
      <c r="R1773" s="10">
        <v>1745</v>
      </c>
    </row>
    <row r="1774" spans="18:18" ht="13.8">
      <c r="R1774" s="10">
        <v>1746</v>
      </c>
    </row>
    <row r="1775" spans="18:18" ht="13.8">
      <c r="R1775" s="10">
        <v>1747</v>
      </c>
    </row>
    <row r="1776" spans="18:18" ht="13.8">
      <c r="R1776" s="10">
        <v>1748</v>
      </c>
    </row>
    <row r="1777" spans="18:18" ht="13.8">
      <c r="R1777" s="10">
        <v>1749</v>
      </c>
    </row>
    <row r="1778" spans="18:18" ht="13.8">
      <c r="R1778" s="10">
        <v>1750</v>
      </c>
    </row>
    <row r="1779" spans="18:18" ht="13.8">
      <c r="R1779" s="10">
        <v>1751</v>
      </c>
    </row>
    <row r="1780" spans="18:18" ht="13.8">
      <c r="R1780" s="10">
        <v>1752</v>
      </c>
    </row>
    <row r="1781" spans="18:18" ht="13.8">
      <c r="R1781" s="10">
        <v>1753</v>
      </c>
    </row>
    <row r="1782" spans="18:18" ht="13.8">
      <c r="R1782" s="10">
        <v>1754</v>
      </c>
    </row>
    <row r="1783" spans="18:18" ht="13.8">
      <c r="R1783" s="10">
        <v>1755</v>
      </c>
    </row>
    <row r="1784" spans="18:18" ht="13.8">
      <c r="R1784" s="10">
        <v>1756</v>
      </c>
    </row>
    <row r="1785" spans="18:18" ht="13.8">
      <c r="R1785" s="10">
        <v>1757</v>
      </c>
    </row>
    <row r="1786" spans="18:18" ht="13.8">
      <c r="R1786" s="10">
        <v>1758</v>
      </c>
    </row>
    <row r="1787" spans="18:18" ht="13.8">
      <c r="R1787" s="10">
        <v>1759</v>
      </c>
    </row>
    <row r="1788" spans="18:18" ht="13.8">
      <c r="R1788" s="10">
        <v>1760</v>
      </c>
    </row>
    <row r="1789" spans="18:18" ht="13.8">
      <c r="R1789" s="10">
        <v>1761</v>
      </c>
    </row>
    <row r="1790" spans="18:18" ht="13.8">
      <c r="R1790" s="10">
        <v>1762</v>
      </c>
    </row>
    <row r="1791" spans="18:18" ht="13.8">
      <c r="R1791" s="10">
        <v>1763</v>
      </c>
    </row>
    <row r="1792" spans="18:18" ht="13.8">
      <c r="R1792" s="10">
        <v>1764</v>
      </c>
    </row>
    <row r="1793" spans="18:18" ht="13.8">
      <c r="R1793" s="10">
        <v>1765</v>
      </c>
    </row>
    <row r="1794" spans="18:18" ht="13.8">
      <c r="R1794" s="10">
        <v>1766</v>
      </c>
    </row>
    <row r="1795" spans="18:18" ht="13.8">
      <c r="R1795" s="10">
        <v>1767</v>
      </c>
    </row>
    <row r="1796" spans="18:18" ht="13.8">
      <c r="R1796" s="10">
        <v>1768</v>
      </c>
    </row>
    <row r="1797" spans="18:18" ht="13.8">
      <c r="R1797" s="10">
        <v>1769</v>
      </c>
    </row>
    <row r="1798" spans="18:18" ht="13.8">
      <c r="R1798" s="10">
        <v>1770</v>
      </c>
    </row>
    <row r="1799" spans="18:18" ht="13.8">
      <c r="R1799" s="10">
        <v>1771</v>
      </c>
    </row>
    <row r="1800" spans="18:18" ht="13.8">
      <c r="R1800" s="10">
        <v>1772</v>
      </c>
    </row>
    <row r="1801" spans="18:18" ht="13.8">
      <c r="R1801" s="10">
        <v>1773</v>
      </c>
    </row>
    <row r="1802" spans="18:18" ht="13.8">
      <c r="R1802" s="10">
        <v>1774</v>
      </c>
    </row>
    <row r="1803" spans="18:18" ht="13.8">
      <c r="R1803" s="10">
        <v>1775</v>
      </c>
    </row>
    <row r="1804" spans="18:18" ht="13.8">
      <c r="R1804" s="10">
        <v>1776</v>
      </c>
    </row>
    <row r="1805" spans="18:18" ht="13.8">
      <c r="R1805" s="10">
        <v>1777</v>
      </c>
    </row>
    <row r="1806" spans="18:18" ht="13.8">
      <c r="R1806" s="10">
        <v>1778</v>
      </c>
    </row>
    <row r="1807" spans="18:18" ht="13.8">
      <c r="R1807" s="10">
        <v>1779</v>
      </c>
    </row>
    <row r="1808" spans="18:18" ht="13.8">
      <c r="R1808" s="10">
        <v>1780</v>
      </c>
    </row>
    <row r="1809" spans="18:18" ht="13.8">
      <c r="R1809" s="10">
        <v>1781</v>
      </c>
    </row>
    <row r="1810" spans="18:18" ht="13.8">
      <c r="R1810" s="10">
        <v>1782</v>
      </c>
    </row>
    <row r="1811" spans="18:18" ht="13.8">
      <c r="R1811" s="10">
        <v>1783</v>
      </c>
    </row>
    <row r="1812" spans="18:18" ht="13.8">
      <c r="R1812" s="10">
        <v>1784</v>
      </c>
    </row>
    <row r="1813" spans="18:18" ht="13.8">
      <c r="R1813" s="10">
        <v>1785</v>
      </c>
    </row>
    <row r="1814" spans="18:18" ht="13.8">
      <c r="R1814" s="10">
        <v>1786</v>
      </c>
    </row>
    <row r="1815" spans="18:18" ht="13.8">
      <c r="R1815" s="10">
        <v>1787</v>
      </c>
    </row>
    <row r="1816" spans="18:18" ht="13.8">
      <c r="R1816" s="10">
        <v>1788</v>
      </c>
    </row>
    <row r="1817" spans="18:18" ht="13.8">
      <c r="R1817" s="10">
        <v>1789</v>
      </c>
    </row>
    <row r="1818" spans="18:18" ht="13.8">
      <c r="R1818" s="10">
        <v>1790</v>
      </c>
    </row>
    <row r="1819" spans="18:18" ht="13.8">
      <c r="R1819" s="10">
        <v>1791</v>
      </c>
    </row>
    <row r="1820" spans="18:18" ht="13.8">
      <c r="R1820" s="10">
        <v>1792</v>
      </c>
    </row>
    <row r="1821" spans="18:18" ht="13.8">
      <c r="R1821" s="10">
        <v>1793</v>
      </c>
    </row>
    <row r="1822" spans="18:18" ht="13.8">
      <c r="R1822" s="10">
        <v>1794</v>
      </c>
    </row>
    <row r="1823" spans="18:18" ht="13.8">
      <c r="R1823" s="10">
        <v>1795</v>
      </c>
    </row>
    <row r="1824" spans="18:18" ht="13.8">
      <c r="R1824" s="10">
        <v>1796</v>
      </c>
    </row>
    <row r="1825" spans="18:18" ht="13.8">
      <c r="R1825" s="10">
        <v>1797</v>
      </c>
    </row>
    <row r="1826" spans="18:18" ht="13.8">
      <c r="R1826" s="10">
        <v>1798</v>
      </c>
    </row>
    <row r="1827" spans="18:18" ht="13.8">
      <c r="R1827" s="10">
        <v>1799</v>
      </c>
    </row>
    <row r="1828" spans="18:18" ht="13.8">
      <c r="R1828" s="10">
        <v>1800</v>
      </c>
    </row>
    <row r="1829" spans="18:18" ht="13.8">
      <c r="R1829" s="10">
        <v>1801</v>
      </c>
    </row>
    <row r="1830" spans="18:18" ht="13.8">
      <c r="R1830" s="10">
        <v>1802</v>
      </c>
    </row>
    <row r="1831" spans="18:18" ht="13.8">
      <c r="R1831" s="10">
        <v>1803</v>
      </c>
    </row>
    <row r="1832" spans="18:18" ht="13.8">
      <c r="R1832" s="10">
        <v>1804</v>
      </c>
    </row>
    <row r="1833" spans="18:18" ht="13.8">
      <c r="R1833" s="10">
        <v>1805</v>
      </c>
    </row>
    <row r="1834" spans="18:18" ht="13.8">
      <c r="R1834" s="10">
        <v>1806</v>
      </c>
    </row>
    <row r="1835" spans="18:18" ht="13.8">
      <c r="R1835" s="10">
        <v>1807</v>
      </c>
    </row>
    <row r="1836" spans="18:18" ht="13.8">
      <c r="R1836" s="10">
        <v>1808</v>
      </c>
    </row>
    <row r="1837" spans="18:18" ht="13.8">
      <c r="R1837" s="10">
        <v>1809</v>
      </c>
    </row>
    <row r="1838" spans="18:18" ht="13.8">
      <c r="R1838" s="10">
        <v>1810</v>
      </c>
    </row>
    <row r="1839" spans="18:18" ht="13.8">
      <c r="R1839" s="10">
        <v>1811</v>
      </c>
    </row>
    <row r="1840" spans="18:18" ht="13.8">
      <c r="R1840" s="10">
        <v>1812</v>
      </c>
    </row>
    <row r="1841" spans="18:18" ht="13.8">
      <c r="R1841" s="10">
        <v>1813</v>
      </c>
    </row>
    <row r="1842" spans="18:18" ht="13.8">
      <c r="R1842" s="10">
        <v>1814</v>
      </c>
    </row>
    <row r="1843" spans="18:18" ht="13.8">
      <c r="R1843" s="10">
        <v>1815</v>
      </c>
    </row>
    <row r="1844" spans="18:18" ht="13.8">
      <c r="R1844" s="10">
        <v>1816</v>
      </c>
    </row>
    <row r="1845" spans="18:18" ht="13.8">
      <c r="R1845" s="10">
        <v>1817</v>
      </c>
    </row>
    <row r="1846" spans="18:18" ht="13.8">
      <c r="R1846" s="10">
        <v>1818</v>
      </c>
    </row>
    <row r="1847" spans="18:18" ht="13.8">
      <c r="R1847" s="10">
        <v>1819</v>
      </c>
    </row>
    <row r="1848" spans="18:18" ht="13.8">
      <c r="R1848" s="10">
        <v>1820</v>
      </c>
    </row>
    <row r="1849" spans="18:18" ht="13.8">
      <c r="R1849" s="10">
        <v>1821</v>
      </c>
    </row>
    <row r="1850" spans="18:18" ht="13.8">
      <c r="R1850" s="10">
        <v>1822</v>
      </c>
    </row>
    <row r="1851" spans="18:18" ht="13.8">
      <c r="R1851" s="10">
        <v>1823</v>
      </c>
    </row>
    <row r="1852" spans="18:18" ht="13.8">
      <c r="R1852" s="10">
        <v>1824</v>
      </c>
    </row>
    <row r="1853" spans="18:18" ht="13.8">
      <c r="R1853" s="10">
        <v>1825</v>
      </c>
    </row>
    <row r="1854" spans="18:18" ht="13.8">
      <c r="R1854" s="10">
        <v>1826</v>
      </c>
    </row>
    <row r="1855" spans="18:18" ht="13.8">
      <c r="R1855" s="10">
        <v>1827</v>
      </c>
    </row>
    <row r="1856" spans="18:18" ht="13.8">
      <c r="R1856" s="10">
        <v>1828</v>
      </c>
    </row>
    <row r="1857" spans="18:18" ht="13.8">
      <c r="R1857" s="10">
        <v>1829</v>
      </c>
    </row>
    <row r="1858" spans="18:18" ht="13.8">
      <c r="R1858" s="10">
        <v>1830</v>
      </c>
    </row>
    <row r="1859" spans="18:18" ht="13.8">
      <c r="R1859" s="10">
        <v>1831</v>
      </c>
    </row>
    <row r="1860" spans="18:18" ht="13.8">
      <c r="R1860" s="10">
        <v>1832</v>
      </c>
    </row>
    <row r="1861" spans="18:18" ht="13.8">
      <c r="R1861" s="10">
        <v>1833</v>
      </c>
    </row>
    <row r="1862" spans="18:18" ht="13.8">
      <c r="R1862" s="10">
        <v>1834</v>
      </c>
    </row>
    <row r="1863" spans="18:18" ht="13.8">
      <c r="R1863" s="10">
        <v>1835</v>
      </c>
    </row>
    <row r="1864" spans="18:18" ht="13.8">
      <c r="R1864" s="10">
        <v>1836</v>
      </c>
    </row>
    <row r="1865" spans="18:18" ht="13.8">
      <c r="R1865" s="10">
        <v>1837</v>
      </c>
    </row>
    <row r="1866" spans="18:18" ht="13.8">
      <c r="R1866" s="10">
        <v>1838</v>
      </c>
    </row>
    <row r="1867" spans="18:18" ht="13.8">
      <c r="R1867" s="10">
        <v>1839</v>
      </c>
    </row>
    <row r="1868" spans="18:18" ht="13.8">
      <c r="R1868" s="10">
        <v>1840</v>
      </c>
    </row>
    <row r="1869" spans="18:18" ht="13.8">
      <c r="R1869" s="10">
        <v>1841</v>
      </c>
    </row>
    <row r="1870" spans="18:18" ht="13.8">
      <c r="R1870" s="10">
        <v>1842</v>
      </c>
    </row>
    <row r="1871" spans="18:18" ht="13.8">
      <c r="R1871" s="10">
        <v>1843</v>
      </c>
    </row>
    <row r="1872" spans="18:18" ht="13.8">
      <c r="R1872" s="10">
        <v>1844</v>
      </c>
    </row>
    <row r="1873" spans="18:18" ht="13.8">
      <c r="R1873" s="10">
        <v>1845</v>
      </c>
    </row>
    <row r="1874" spans="18:18" ht="13.8">
      <c r="R1874" s="10">
        <v>1846</v>
      </c>
    </row>
    <row r="1875" spans="18:18" ht="13.8">
      <c r="R1875" s="10">
        <v>1847</v>
      </c>
    </row>
    <row r="1876" spans="18:18" ht="13.8">
      <c r="R1876" s="10">
        <v>1848</v>
      </c>
    </row>
    <row r="1877" spans="18:18" ht="13.8">
      <c r="R1877" s="10">
        <v>1849</v>
      </c>
    </row>
    <row r="1878" spans="18:18" ht="13.8">
      <c r="R1878" s="10">
        <v>1850</v>
      </c>
    </row>
    <row r="1879" spans="18:18" ht="13.8">
      <c r="R1879" s="10">
        <v>1851</v>
      </c>
    </row>
    <row r="1880" spans="18:18" ht="13.8">
      <c r="R1880" s="10">
        <v>1852</v>
      </c>
    </row>
    <row r="1881" spans="18:18" ht="13.8">
      <c r="R1881" s="10">
        <v>1853</v>
      </c>
    </row>
    <row r="1882" spans="18:18" ht="13.8">
      <c r="R1882" s="10">
        <v>1854</v>
      </c>
    </row>
    <row r="1883" spans="18:18" ht="13.8">
      <c r="R1883" s="10">
        <v>1855</v>
      </c>
    </row>
    <row r="1884" spans="18:18" ht="13.8">
      <c r="R1884" s="10">
        <v>1856</v>
      </c>
    </row>
    <row r="1885" spans="18:18" ht="13.8">
      <c r="R1885" s="10">
        <v>1857</v>
      </c>
    </row>
    <row r="1886" spans="18:18" ht="13.8">
      <c r="R1886" s="10">
        <v>1858</v>
      </c>
    </row>
    <row r="1887" spans="18:18" ht="13.8">
      <c r="R1887" s="10">
        <v>1859</v>
      </c>
    </row>
    <row r="1888" spans="18:18" ht="13.8">
      <c r="R1888" s="10">
        <v>1860</v>
      </c>
    </row>
    <row r="1889" spans="18:18" ht="13.8">
      <c r="R1889" s="10">
        <v>1861</v>
      </c>
    </row>
    <row r="1890" spans="18:18" ht="13.8">
      <c r="R1890" s="10">
        <v>1862</v>
      </c>
    </row>
    <row r="1891" spans="18:18" ht="13.8">
      <c r="R1891" s="10">
        <v>1863</v>
      </c>
    </row>
    <row r="1892" spans="18:18" ht="13.8">
      <c r="R1892" s="10">
        <v>1864</v>
      </c>
    </row>
    <row r="1893" spans="18:18" ht="13.8">
      <c r="R1893" s="10">
        <v>1865</v>
      </c>
    </row>
    <row r="1894" spans="18:18" ht="13.8">
      <c r="R1894" s="10">
        <v>1866</v>
      </c>
    </row>
    <row r="1895" spans="18:18" ht="13.8">
      <c r="R1895" s="10">
        <v>1867</v>
      </c>
    </row>
    <row r="1896" spans="18:18" ht="13.8">
      <c r="R1896" s="10">
        <v>1868</v>
      </c>
    </row>
    <row r="1897" spans="18:18" ht="13.8">
      <c r="R1897" s="10">
        <v>1869</v>
      </c>
    </row>
    <row r="1898" spans="18:18" ht="13.8">
      <c r="R1898" s="10">
        <v>1870</v>
      </c>
    </row>
    <row r="1899" spans="18:18" ht="13.8">
      <c r="R1899" s="10">
        <v>1871</v>
      </c>
    </row>
    <row r="1900" spans="18:18" ht="13.8">
      <c r="R1900" s="10">
        <v>1872</v>
      </c>
    </row>
    <row r="1901" spans="18:18" ht="13.8">
      <c r="R1901" s="10">
        <v>1873</v>
      </c>
    </row>
    <row r="1902" spans="18:18" ht="13.8">
      <c r="R1902" s="10">
        <v>1874</v>
      </c>
    </row>
    <row r="1903" spans="18:18" ht="13.8">
      <c r="R1903" s="10">
        <v>1875</v>
      </c>
    </row>
    <row r="1904" spans="18:18" ht="13.8">
      <c r="R1904" s="10">
        <v>1876</v>
      </c>
    </row>
    <row r="1905" spans="18:18" ht="13.8">
      <c r="R1905" s="10">
        <v>1877</v>
      </c>
    </row>
    <row r="1906" spans="18:18" ht="13.8">
      <c r="R1906" s="10">
        <v>1878</v>
      </c>
    </row>
    <row r="1907" spans="18:18" ht="13.8">
      <c r="R1907" s="10">
        <v>1879</v>
      </c>
    </row>
    <row r="1908" spans="18:18" ht="13.8">
      <c r="R1908" s="10">
        <v>1880</v>
      </c>
    </row>
    <row r="1909" spans="18:18" ht="13.8">
      <c r="R1909" s="10">
        <v>1881</v>
      </c>
    </row>
    <row r="1910" spans="18:18" ht="13.8">
      <c r="R1910" s="10">
        <v>1882</v>
      </c>
    </row>
    <row r="1911" spans="18:18" ht="13.8">
      <c r="R1911" s="10">
        <v>1883</v>
      </c>
    </row>
    <row r="1912" spans="18:18" ht="13.8">
      <c r="R1912" s="10">
        <v>1884</v>
      </c>
    </row>
    <row r="1913" spans="18:18" ht="13.8">
      <c r="R1913" s="10">
        <v>1885</v>
      </c>
    </row>
    <row r="1914" spans="18:18" ht="13.8">
      <c r="R1914" s="10">
        <v>1886</v>
      </c>
    </row>
    <row r="1915" spans="18:18" ht="13.8">
      <c r="R1915" s="10">
        <v>1887</v>
      </c>
    </row>
    <row r="1916" spans="18:18" ht="13.8">
      <c r="R1916" s="10">
        <v>1888</v>
      </c>
    </row>
    <row r="1917" spans="18:18" ht="13.8">
      <c r="R1917" s="10">
        <v>1889</v>
      </c>
    </row>
    <row r="1918" spans="18:18" ht="13.8">
      <c r="R1918" s="10">
        <v>1890</v>
      </c>
    </row>
    <row r="1919" spans="18:18" ht="13.8">
      <c r="R1919" s="10">
        <v>1891</v>
      </c>
    </row>
    <row r="1920" spans="18:18" ht="13.8">
      <c r="R1920" s="10">
        <v>1892</v>
      </c>
    </row>
    <row r="1921" spans="18:18" ht="13.8">
      <c r="R1921" s="10">
        <v>1893</v>
      </c>
    </row>
    <row r="1922" spans="18:18" ht="13.8">
      <c r="R1922" s="10">
        <v>1894</v>
      </c>
    </row>
    <row r="1923" spans="18:18" ht="13.8">
      <c r="R1923" s="10">
        <v>1895</v>
      </c>
    </row>
    <row r="1924" spans="18:18" ht="13.8">
      <c r="R1924" s="10">
        <v>1896</v>
      </c>
    </row>
    <row r="1925" spans="18:18" ht="13.8">
      <c r="R1925" s="10">
        <v>1897</v>
      </c>
    </row>
    <row r="1926" spans="18:18" ht="13.8">
      <c r="R1926" s="10">
        <v>1898</v>
      </c>
    </row>
    <row r="1927" spans="18:18" ht="13.8">
      <c r="R1927" s="10">
        <v>1899</v>
      </c>
    </row>
    <row r="1928" spans="18:18" ht="13.8">
      <c r="R1928" s="10">
        <v>1900</v>
      </c>
    </row>
    <row r="1929" spans="18:18" ht="13.8">
      <c r="R1929" s="10">
        <v>1901</v>
      </c>
    </row>
    <row r="1930" spans="18:18" ht="13.8">
      <c r="R1930" s="10">
        <v>1902</v>
      </c>
    </row>
    <row r="1931" spans="18:18" ht="13.8">
      <c r="R1931" s="10">
        <v>1903</v>
      </c>
    </row>
    <row r="1932" spans="18:18" ht="13.8">
      <c r="R1932" s="10">
        <v>1904</v>
      </c>
    </row>
    <row r="1933" spans="18:18" ht="13.8">
      <c r="R1933" s="10">
        <v>1905</v>
      </c>
    </row>
    <row r="1934" spans="18:18" ht="13.8">
      <c r="R1934" s="10">
        <v>1906</v>
      </c>
    </row>
    <row r="1935" spans="18:18" ht="13.8">
      <c r="R1935" s="10">
        <v>1907</v>
      </c>
    </row>
    <row r="1936" spans="18:18" ht="13.8">
      <c r="R1936" s="10">
        <v>1908</v>
      </c>
    </row>
    <row r="1937" spans="18:18" ht="13.8">
      <c r="R1937" s="10">
        <v>1909</v>
      </c>
    </row>
    <row r="1938" spans="18:18" ht="13.8">
      <c r="R1938" s="10">
        <v>1910</v>
      </c>
    </row>
    <row r="1939" spans="18:18" ht="13.8">
      <c r="R1939" s="10">
        <v>1911</v>
      </c>
    </row>
    <row r="1940" spans="18:18" ht="13.8">
      <c r="R1940" s="10">
        <v>1912</v>
      </c>
    </row>
    <row r="1941" spans="18:18" ht="13.8">
      <c r="R1941" s="10">
        <v>1913</v>
      </c>
    </row>
    <row r="1942" spans="18:18" ht="13.8">
      <c r="R1942" s="10">
        <v>1914</v>
      </c>
    </row>
    <row r="1943" spans="18:18" ht="13.8">
      <c r="R1943" s="10">
        <v>1915</v>
      </c>
    </row>
    <row r="1944" spans="18:18" ht="13.8">
      <c r="R1944" s="10">
        <v>1916</v>
      </c>
    </row>
    <row r="1945" spans="18:18" ht="13.8">
      <c r="R1945" s="10">
        <v>1917</v>
      </c>
    </row>
    <row r="1946" spans="18:18" ht="13.8">
      <c r="R1946" s="10">
        <v>1918</v>
      </c>
    </row>
    <row r="1947" spans="18:18" ht="13.8">
      <c r="R1947" s="10">
        <v>1919</v>
      </c>
    </row>
    <row r="1948" spans="18:18" ht="13.8">
      <c r="R1948" s="10">
        <v>1920</v>
      </c>
    </row>
    <row r="1949" spans="18:18" ht="13.8">
      <c r="R1949" s="10">
        <v>1921</v>
      </c>
    </row>
    <row r="1950" spans="18:18" ht="13.8">
      <c r="R1950" s="10">
        <v>1922</v>
      </c>
    </row>
    <row r="1951" spans="18:18" ht="13.8">
      <c r="R1951" s="10">
        <v>1923</v>
      </c>
    </row>
    <row r="1952" spans="18:18" ht="13.8">
      <c r="R1952" s="10">
        <v>1924</v>
      </c>
    </row>
    <row r="1953" spans="18:18" ht="13.8">
      <c r="R1953" s="10">
        <v>1925</v>
      </c>
    </row>
    <row r="1954" spans="18:18" ht="13.8">
      <c r="R1954" s="10">
        <v>1926</v>
      </c>
    </row>
    <row r="1955" spans="18:18" ht="13.8">
      <c r="R1955" s="10">
        <v>1927</v>
      </c>
    </row>
    <row r="1956" spans="18:18" ht="13.8">
      <c r="R1956" s="10">
        <v>1928</v>
      </c>
    </row>
    <row r="1957" spans="18:18" ht="13.8">
      <c r="R1957" s="10">
        <v>1929</v>
      </c>
    </row>
    <row r="1958" spans="18:18" ht="13.8">
      <c r="R1958" s="10">
        <v>1930</v>
      </c>
    </row>
    <row r="1959" spans="18:18" ht="13.8">
      <c r="R1959" s="10">
        <v>1931</v>
      </c>
    </row>
    <row r="1960" spans="18:18" ht="13.8">
      <c r="R1960" s="10">
        <v>1932</v>
      </c>
    </row>
    <row r="1961" spans="18:18" ht="13.8">
      <c r="R1961" s="10">
        <v>1933</v>
      </c>
    </row>
    <row r="1962" spans="18:18" ht="13.8">
      <c r="R1962" s="10">
        <v>1934</v>
      </c>
    </row>
    <row r="1963" spans="18:18" ht="13.8">
      <c r="R1963" s="10">
        <v>1935</v>
      </c>
    </row>
    <row r="1964" spans="18:18" ht="13.8">
      <c r="R1964" s="10">
        <v>1936</v>
      </c>
    </row>
    <row r="1965" spans="18:18" ht="13.8">
      <c r="R1965" s="10">
        <v>1937</v>
      </c>
    </row>
    <row r="1966" spans="18:18" ht="13.8">
      <c r="R1966" s="10">
        <v>1938</v>
      </c>
    </row>
    <row r="1967" spans="18:18" ht="13.8">
      <c r="R1967" s="10">
        <v>1939</v>
      </c>
    </row>
    <row r="1968" spans="18:18" ht="13.8">
      <c r="R1968" s="10">
        <v>1940</v>
      </c>
    </row>
    <row r="1969" spans="18:18" ht="13.8">
      <c r="R1969" s="10">
        <v>1941</v>
      </c>
    </row>
    <row r="1970" spans="18:18" ht="13.8">
      <c r="R1970" s="10">
        <v>1942</v>
      </c>
    </row>
    <row r="1971" spans="18:18" ht="13.8">
      <c r="R1971" s="10">
        <v>1943</v>
      </c>
    </row>
    <row r="1972" spans="18:18" ht="13.8">
      <c r="R1972" s="10">
        <v>1944</v>
      </c>
    </row>
    <row r="1973" spans="18:18" ht="13.8">
      <c r="R1973" s="10">
        <v>1945</v>
      </c>
    </row>
    <row r="1974" spans="18:18" ht="13.8">
      <c r="R1974" s="10">
        <v>1946</v>
      </c>
    </row>
    <row r="1975" spans="18:18" ht="13.8">
      <c r="R1975" s="10">
        <v>1947</v>
      </c>
    </row>
    <row r="1976" spans="18:18" ht="13.8">
      <c r="R1976" s="10">
        <v>1948</v>
      </c>
    </row>
    <row r="1977" spans="18:18" ht="13.8">
      <c r="R1977" s="10">
        <v>1949</v>
      </c>
    </row>
    <row r="1978" spans="18:18" ht="13.8">
      <c r="R1978" s="10">
        <v>1950</v>
      </c>
    </row>
    <row r="1979" spans="18:18" ht="13.8">
      <c r="R1979" s="10">
        <v>1951</v>
      </c>
    </row>
    <row r="1980" spans="18:18" ht="13.8">
      <c r="R1980" s="10">
        <v>1952</v>
      </c>
    </row>
    <row r="1981" spans="18:18" ht="13.8">
      <c r="R1981" s="10">
        <v>1953</v>
      </c>
    </row>
    <row r="1982" spans="18:18" ht="13.8">
      <c r="R1982" s="10">
        <v>1954</v>
      </c>
    </row>
    <row r="1983" spans="18:18" ht="13.8">
      <c r="R1983" s="10">
        <v>1955</v>
      </c>
    </row>
    <row r="1984" spans="18:18" ht="13.8">
      <c r="R1984" s="10">
        <v>1956</v>
      </c>
    </row>
    <row r="1985" spans="18:18" ht="13.8">
      <c r="R1985" s="10">
        <v>1957</v>
      </c>
    </row>
    <row r="1986" spans="18:18" ht="13.8">
      <c r="R1986" s="10">
        <v>1958</v>
      </c>
    </row>
    <row r="1987" spans="18:18" ht="13.8">
      <c r="R1987" s="10">
        <v>1959</v>
      </c>
    </row>
    <row r="1988" spans="18:18" ht="13.8">
      <c r="R1988" s="10">
        <v>1960</v>
      </c>
    </row>
    <row r="1989" spans="18:18" ht="13.8">
      <c r="R1989" s="10">
        <v>1961</v>
      </c>
    </row>
    <row r="1990" spans="18:18" ht="13.8">
      <c r="R1990" s="10">
        <v>1962</v>
      </c>
    </row>
    <row r="1991" spans="18:18" ht="13.8">
      <c r="R1991" s="10">
        <v>1963</v>
      </c>
    </row>
    <row r="1992" spans="18:18" ht="13.8">
      <c r="R1992" s="10">
        <v>1964</v>
      </c>
    </row>
    <row r="1993" spans="18:18" ht="13.8">
      <c r="R1993" s="10">
        <v>1965</v>
      </c>
    </row>
    <row r="1994" spans="18:18" ht="13.8">
      <c r="R1994" s="10">
        <v>1966</v>
      </c>
    </row>
    <row r="1995" spans="18:18" ht="13.8">
      <c r="R1995" s="10">
        <v>1967</v>
      </c>
    </row>
    <row r="1996" spans="18:18" ht="13.8">
      <c r="R1996" s="10">
        <v>1968</v>
      </c>
    </row>
    <row r="1997" spans="18:18" ht="13.8">
      <c r="R1997" s="10">
        <v>1969</v>
      </c>
    </row>
    <row r="1998" spans="18:18" ht="13.8">
      <c r="R1998" s="10">
        <v>1970</v>
      </c>
    </row>
    <row r="1999" spans="18:18" ht="13.8">
      <c r="R1999" s="10">
        <v>1971</v>
      </c>
    </row>
    <row r="2000" spans="18:18" ht="13.8">
      <c r="R2000" s="10">
        <v>1972</v>
      </c>
    </row>
    <row r="2001" spans="18:18" ht="13.8">
      <c r="R2001" s="10">
        <v>1973</v>
      </c>
    </row>
    <row r="2002" spans="18:18" ht="13.8">
      <c r="R2002" s="10">
        <v>1974</v>
      </c>
    </row>
    <row r="2003" spans="18:18" ht="13.8">
      <c r="R2003" s="10">
        <v>1975</v>
      </c>
    </row>
    <row r="2004" spans="18:18" ht="13.8">
      <c r="R2004" s="10">
        <v>1976</v>
      </c>
    </row>
    <row r="2005" spans="18:18" ht="13.8">
      <c r="R2005" s="10">
        <v>1977</v>
      </c>
    </row>
    <row r="2006" spans="18:18" ht="13.8">
      <c r="R2006" s="10">
        <v>1978</v>
      </c>
    </row>
    <row r="2007" spans="18:18" ht="13.8">
      <c r="R2007" s="10">
        <v>1979</v>
      </c>
    </row>
    <row r="2008" spans="18:18" ht="13.8">
      <c r="R2008" s="10">
        <v>1980</v>
      </c>
    </row>
    <row r="2009" spans="18:18" ht="13.8">
      <c r="R2009" s="10">
        <v>1981</v>
      </c>
    </row>
    <row r="2010" spans="18:18" ht="13.8">
      <c r="R2010" s="10">
        <v>1982</v>
      </c>
    </row>
    <row r="2011" spans="18:18" ht="13.8">
      <c r="R2011" s="10">
        <v>1983</v>
      </c>
    </row>
    <row r="2012" spans="18:18" ht="13.8">
      <c r="R2012" s="10">
        <v>1984</v>
      </c>
    </row>
    <row r="2013" spans="18:18" ht="13.8">
      <c r="R2013" s="10">
        <v>1985</v>
      </c>
    </row>
    <row r="2014" spans="18:18" ht="13.8">
      <c r="R2014" s="10">
        <v>1986</v>
      </c>
    </row>
    <row r="2015" spans="18:18" ht="13.8">
      <c r="R2015" s="10">
        <v>1987</v>
      </c>
    </row>
    <row r="2016" spans="18:18" ht="13.8">
      <c r="R2016" s="10">
        <v>1988</v>
      </c>
    </row>
    <row r="2017" spans="18:18" ht="13.8">
      <c r="R2017" s="10">
        <v>1989</v>
      </c>
    </row>
    <row r="2018" spans="18:18" ht="13.8">
      <c r="R2018" s="10">
        <v>1990</v>
      </c>
    </row>
    <row r="2019" spans="18:18" ht="13.8">
      <c r="R2019" s="10">
        <v>1991</v>
      </c>
    </row>
    <row r="2020" spans="18:18" ht="13.8">
      <c r="R2020" s="10">
        <v>1992</v>
      </c>
    </row>
    <row r="2021" spans="18:18" ht="13.8">
      <c r="R2021" s="10">
        <v>1993</v>
      </c>
    </row>
    <row r="2022" spans="18:18" ht="13.8">
      <c r="R2022" s="10">
        <v>1994</v>
      </c>
    </row>
    <row r="2023" spans="18:18" ht="13.8">
      <c r="R2023" s="10">
        <v>1995</v>
      </c>
    </row>
    <row r="2024" spans="18:18" ht="13.8">
      <c r="R2024" s="10">
        <v>1996</v>
      </c>
    </row>
    <row r="2025" spans="18:18" ht="13.8">
      <c r="R2025" s="10">
        <v>1997</v>
      </c>
    </row>
    <row r="2026" spans="18:18" ht="13.8">
      <c r="R2026" s="10">
        <v>1998</v>
      </c>
    </row>
    <row r="2027" spans="18:18" ht="13.8">
      <c r="R2027" s="10">
        <v>1999</v>
      </c>
    </row>
    <row r="2028" spans="18:18" ht="13.8">
      <c r="R2028" s="10">
        <v>2000</v>
      </c>
    </row>
    <row r="2029" spans="18:18" ht="13.8">
      <c r="R2029" s="10">
        <v>2001</v>
      </c>
    </row>
    <row r="2030" spans="18:18" ht="13.8">
      <c r="R2030" s="10">
        <v>2002</v>
      </c>
    </row>
    <row r="2031" spans="18:18" ht="13.8">
      <c r="R2031" s="10">
        <v>2003</v>
      </c>
    </row>
    <row r="2032" spans="18:18" ht="13.8">
      <c r="R2032" s="10">
        <v>2004</v>
      </c>
    </row>
    <row r="2033" spans="18:18" ht="13.8">
      <c r="R2033" s="10">
        <v>2005</v>
      </c>
    </row>
    <row r="2034" spans="18:18" ht="13.8">
      <c r="R2034" s="10">
        <v>2006</v>
      </c>
    </row>
    <row r="2035" spans="18:18" ht="13.8">
      <c r="R2035" s="10">
        <v>2007</v>
      </c>
    </row>
    <row r="2036" spans="18:18" ht="13.8">
      <c r="R2036" s="10">
        <v>2008</v>
      </c>
    </row>
    <row r="2037" spans="18:18" ht="13.8">
      <c r="R2037" s="10">
        <v>2009</v>
      </c>
    </row>
    <row r="2038" spans="18:18" ht="13.8">
      <c r="R2038" s="10">
        <v>2010</v>
      </c>
    </row>
    <row r="2039" spans="18:18" ht="13.8">
      <c r="R2039" s="10">
        <v>2011</v>
      </c>
    </row>
    <row r="2040" spans="18:18" ht="13.8">
      <c r="R2040" s="10">
        <v>2012</v>
      </c>
    </row>
    <row r="2041" spans="18:18" ht="13.8">
      <c r="R2041" s="10">
        <v>2013</v>
      </c>
    </row>
    <row r="2042" spans="18:18" ht="13.8">
      <c r="R2042" s="10">
        <v>2014</v>
      </c>
    </row>
    <row r="2043" spans="18:18" ht="13.8">
      <c r="R2043" s="10">
        <v>2015</v>
      </c>
    </row>
    <row r="2044" spans="18:18" ht="13.8">
      <c r="R2044" s="10">
        <v>2016</v>
      </c>
    </row>
    <row r="2045" spans="18:18" ht="13.8">
      <c r="R2045" s="10">
        <v>2017</v>
      </c>
    </row>
    <row r="2046" spans="18:18" ht="13.8">
      <c r="R2046" s="10">
        <v>2018</v>
      </c>
    </row>
    <row r="2047" spans="18:18" ht="13.8">
      <c r="R2047" s="10">
        <v>2019</v>
      </c>
    </row>
    <row r="2048" spans="18:18" ht="13.8">
      <c r="R2048" s="10">
        <v>2020</v>
      </c>
    </row>
    <row r="2049" spans="18:18" ht="13.8">
      <c r="R2049" s="10">
        <v>2021</v>
      </c>
    </row>
    <row r="2050" spans="18:18" ht="13.8">
      <c r="R2050" s="10">
        <v>2022</v>
      </c>
    </row>
    <row r="2051" spans="18:18" ht="13.8">
      <c r="R2051" s="10">
        <v>2023</v>
      </c>
    </row>
    <row r="2052" spans="18:18" ht="13.8">
      <c r="R2052" s="10">
        <v>2024</v>
      </c>
    </row>
    <row r="2053" spans="18:18" ht="13.8">
      <c r="R2053" s="10">
        <v>2025</v>
      </c>
    </row>
    <row r="2054" spans="18:18" ht="13.8">
      <c r="R2054" s="10">
        <v>2026</v>
      </c>
    </row>
    <row r="2055" spans="18:18" ht="13.8">
      <c r="R2055" s="10">
        <v>2027</v>
      </c>
    </row>
    <row r="2056" spans="18:18" ht="13.8">
      <c r="R2056" s="10">
        <v>2028</v>
      </c>
    </row>
    <row r="2057" spans="18:18" ht="13.8">
      <c r="R2057" s="10">
        <v>2029</v>
      </c>
    </row>
    <row r="2058" spans="18:18" ht="13.8">
      <c r="R2058" s="10">
        <v>2030</v>
      </c>
    </row>
    <row r="2059" spans="18:18" ht="13.8">
      <c r="R2059" s="10">
        <v>2031</v>
      </c>
    </row>
    <row r="2060" spans="18:18" ht="13.8">
      <c r="R2060" s="10">
        <v>2032</v>
      </c>
    </row>
    <row r="2061" spans="18:18" ht="13.8">
      <c r="R2061" s="10">
        <v>2033</v>
      </c>
    </row>
    <row r="2062" spans="18:18" ht="13.8">
      <c r="R2062" s="10">
        <v>2034</v>
      </c>
    </row>
    <row r="2063" spans="18:18" ht="13.8">
      <c r="R2063" s="10">
        <v>2035</v>
      </c>
    </row>
    <row r="2064" spans="18:18" ht="13.8">
      <c r="R2064" s="10">
        <v>2036</v>
      </c>
    </row>
    <row r="2065" spans="18:18" ht="13.8">
      <c r="R2065" s="10">
        <v>2037</v>
      </c>
    </row>
    <row r="2066" spans="18:18" ht="13.8">
      <c r="R2066" s="10">
        <v>2038</v>
      </c>
    </row>
    <row r="2067" spans="18:18" ht="13.8">
      <c r="R2067" s="10">
        <v>2039</v>
      </c>
    </row>
    <row r="2068" spans="18:18" ht="13.8">
      <c r="R2068" s="10">
        <v>2040</v>
      </c>
    </row>
    <row r="2069" spans="18:18" ht="13.8">
      <c r="R2069" s="10">
        <v>2041</v>
      </c>
    </row>
    <row r="2070" spans="18:18" ht="13.8">
      <c r="R2070" s="10">
        <v>2042</v>
      </c>
    </row>
    <row r="2071" spans="18:18" ht="13.8">
      <c r="R2071" s="10">
        <v>2043</v>
      </c>
    </row>
    <row r="2072" spans="18:18" ht="13.8">
      <c r="R2072" s="10">
        <v>2044</v>
      </c>
    </row>
    <row r="2073" spans="18:18" ht="13.8">
      <c r="R2073" s="10">
        <v>2045</v>
      </c>
    </row>
    <row r="2074" spans="18:18" ht="13.8">
      <c r="R2074" s="10">
        <v>2046</v>
      </c>
    </row>
    <row r="2075" spans="18:18" ht="13.8">
      <c r="R2075" s="10">
        <v>2047</v>
      </c>
    </row>
    <row r="2076" spans="18:18" ht="13.8">
      <c r="R2076" s="10">
        <v>2048</v>
      </c>
    </row>
    <row r="2077" spans="18:18" ht="13.8">
      <c r="R2077" s="10">
        <v>2049</v>
      </c>
    </row>
    <row r="2078" spans="18:18" ht="13.8">
      <c r="R2078" s="10">
        <v>2050</v>
      </c>
    </row>
    <row r="2079" spans="18:18" ht="13.8">
      <c r="R2079" s="10">
        <v>2051</v>
      </c>
    </row>
    <row r="2080" spans="18:18" ht="13.8">
      <c r="R2080" s="10">
        <v>2052</v>
      </c>
    </row>
    <row r="2081" spans="18:18" ht="13.8">
      <c r="R2081" s="10">
        <v>2053</v>
      </c>
    </row>
    <row r="2082" spans="18:18" ht="13.8">
      <c r="R2082" s="10">
        <v>2054</v>
      </c>
    </row>
    <row r="2083" spans="18:18" ht="13.8">
      <c r="R2083" s="10">
        <v>2055</v>
      </c>
    </row>
    <row r="2084" spans="18:18" ht="13.8">
      <c r="R2084" s="10">
        <v>2056</v>
      </c>
    </row>
    <row r="2085" spans="18:18" ht="13.8">
      <c r="R2085" s="10">
        <v>2057</v>
      </c>
    </row>
    <row r="2086" spans="18:18" ht="13.8">
      <c r="R2086" s="10">
        <v>2058</v>
      </c>
    </row>
    <row r="2087" spans="18:18" ht="13.8">
      <c r="R2087" s="10">
        <v>2059</v>
      </c>
    </row>
    <row r="2088" spans="18:18" ht="13.8">
      <c r="R2088" s="10">
        <v>2060</v>
      </c>
    </row>
    <row r="2089" spans="18:18" ht="13.8">
      <c r="R2089" s="10">
        <v>2061</v>
      </c>
    </row>
    <row r="2090" spans="18:18" ht="13.8">
      <c r="R2090" s="10">
        <v>2062</v>
      </c>
    </row>
    <row r="2091" spans="18:18" ht="13.8">
      <c r="R2091" s="10">
        <v>2063</v>
      </c>
    </row>
    <row r="2092" spans="18:18" ht="13.8">
      <c r="R2092" s="10">
        <v>2064</v>
      </c>
    </row>
    <row r="2093" spans="18:18" ht="13.8">
      <c r="R2093" s="10">
        <v>2065</v>
      </c>
    </row>
    <row r="2094" spans="18:18" ht="13.8">
      <c r="R2094" s="10">
        <v>2066</v>
      </c>
    </row>
    <row r="2095" spans="18:18" ht="13.8">
      <c r="R2095" s="10">
        <v>2067</v>
      </c>
    </row>
    <row r="2096" spans="18:18" ht="13.8">
      <c r="R2096" s="10">
        <v>2068</v>
      </c>
    </row>
    <row r="2097" spans="18:18" ht="13.8">
      <c r="R2097" s="10">
        <v>2069</v>
      </c>
    </row>
    <row r="2098" spans="18:18" ht="13.8">
      <c r="R2098" s="10">
        <v>2070</v>
      </c>
    </row>
    <row r="2099" spans="18:18" ht="13.8">
      <c r="R2099" s="10">
        <v>2071</v>
      </c>
    </row>
    <row r="2100" spans="18:18" ht="13.8">
      <c r="R2100" s="10">
        <v>2072</v>
      </c>
    </row>
    <row r="2101" spans="18:18" ht="13.8">
      <c r="R2101" s="10">
        <v>2073</v>
      </c>
    </row>
    <row r="2102" spans="18:18" ht="13.8">
      <c r="R2102" s="10">
        <v>2074</v>
      </c>
    </row>
    <row r="2103" spans="18:18" ht="13.8">
      <c r="R2103" s="10">
        <v>2075</v>
      </c>
    </row>
    <row r="2104" spans="18:18" ht="13.8">
      <c r="R2104" s="10">
        <v>2076</v>
      </c>
    </row>
    <row r="2105" spans="18:18" ht="13.8">
      <c r="R2105" s="10">
        <v>2077</v>
      </c>
    </row>
    <row r="2106" spans="18:18" ht="13.8">
      <c r="R2106" s="10">
        <v>2078</v>
      </c>
    </row>
    <row r="2107" spans="18:18" ht="13.8">
      <c r="R2107" s="10">
        <v>2079</v>
      </c>
    </row>
    <row r="2108" spans="18:18" ht="13.8">
      <c r="R2108" s="10">
        <v>2080</v>
      </c>
    </row>
    <row r="2109" spans="18:18" ht="13.8">
      <c r="R2109" s="10">
        <v>2081</v>
      </c>
    </row>
    <row r="2110" spans="18:18" ht="13.8">
      <c r="R2110" s="10">
        <v>2082</v>
      </c>
    </row>
    <row r="2111" spans="18:18" ht="13.8">
      <c r="R2111" s="10">
        <v>2083</v>
      </c>
    </row>
    <row r="2112" spans="18:18" ht="13.8">
      <c r="R2112" s="10">
        <v>2084</v>
      </c>
    </row>
    <row r="2113" spans="18:18" ht="13.8">
      <c r="R2113" s="10">
        <v>2085</v>
      </c>
    </row>
    <row r="2114" spans="18:18" ht="13.8">
      <c r="R2114" s="10">
        <v>2086</v>
      </c>
    </row>
    <row r="2115" spans="18:18" ht="13.8">
      <c r="R2115" s="10">
        <v>2087</v>
      </c>
    </row>
    <row r="2116" spans="18:18" ht="13.8">
      <c r="R2116" s="10">
        <v>2088</v>
      </c>
    </row>
    <row r="2117" spans="18:18" ht="13.8">
      <c r="R2117" s="10">
        <v>2089</v>
      </c>
    </row>
    <row r="2118" spans="18:18" ht="13.8">
      <c r="R2118" s="10">
        <v>2090</v>
      </c>
    </row>
    <row r="2119" spans="18:18" ht="13.8">
      <c r="R2119" s="10">
        <v>2091</v>
      </c>
    </row>
    <row r="2120" spans="18:18" ht="13.8">
      <c r="R2120" s="10">
        <v>2092</v>
      </c>
    </row>
    <row r="2121" spans="18:18" ht="13.8">
      <c r="R2121" s="10">
        <v>2093</v>
      </c>
    </row>
    <row r="2122" spans="18:18" ht="13.8">
      <c r="R2122" s="10">
        <v>2094</v>
      </c>
    </row>
    <row r="2123" spans="18:18" ht="13.8">
      <c r="R2123" s="10">
        <v>2095</v>
      </c>
    </row>
    <row r="2124" spans="18:18" ht="13.8">
      <c r="R2124" s="10">
        <v>2096</v>
      </c>
    </row>
    <row r="2125" spans="18:18" ht="13.8">
      <c r="R2125" s="10">
        <v>2097</v>
      </c>
    </row>
    <row r="2126" spans="18:18" ht="13.8">
      <c r="R2126" s="10">
        <v>2098</v>
      </c>
    </row>
    <row r="2127" spans="18:18" ht="13.8">
      <c r="R2127" s="10">
        <v>2099</v>
      </c>
    </row>
    <row r="2128" spans="18:18" ht="13.8">
      <c r="R2128" s="10">
        <v>2100</v>
      </c>
    </row>
    <row r="2129" spans="18:18" ht="13.8">
      <c r="R2129" s="10">
        <v>2101</v>
      </c>
    </row>
    <row r="2130" spans="18:18" ht="13.8">
      <c r="R2130" s="10">
        <v>2102</v>
      </c>
    </row>
    <row r="2131" spans="18:18" ht="13.8">
      <c r="R2131" s="10">
        <v>2103</v>
      </c>
    </row>
    <row r="2132" spans="18:18" ht="13.8">
      <c r="R2132" s="10">
        <v>2104</v>
      </c>
    </row>
    <row r="2133" spans="18:18" ht="13.8">
      <c r="R2133" s="10">
        <v>2105</v>
      </c>
    </row>
    <row r="2134" spans="18:18" ht="13.8">
      <c r="R2134" s="10">
        <v>2106</v>
      </c>
    </row>
    <row r="2135" spans="18:18" ht="13.8">
      <c r="R2135" s="10">
        <v>2107</v>
      </c>
    </row>
    <row r="2136" spans="18:18" ht="13.8">
      <c r="R2136" s="10">
        <v>2108</v>
      </c>
    </row>
    <row r="2137" spans="18:18" ht="13.8">
      <c r="R2137" s="10">
        <v>2109</v>
      </c>
    </row>
    <row r="2138" spans="18:18" ht="13.8">
      <c r="R2138" s="10">
        <v>2110</v>
      </c>
    </row>
    <row r="2139" spans="18:18" ht="13.8">
      <c r="R2139" s="10">
        <v>2111</v>
      </c>
    </row>
    <row r="2140" spans="18:18" ht="13.8">
      <c r="R2140" s="10">
        <v>2112</v>
      </c>
    </row>
    <row r="2141" spans="18:18" ht="13.8">
      <c r="R2141" s="10">
        <v>2113</v>
      </c>
    </row>
    <row r="2142" spans="18:18" ht="13.8">
      <c r="R2142" s="10">
        <v>2114</v>
      </c>
    </row>
    <row r="2143" spans="18:18" ht="13.8">
      <c r="R2143" s="10">
        <v>2115</v>
      </c>
    </row>
    <row r="2144" spans="18:18" ht="13.8">
      <c r="R2144" s="10">
        <v>2116</v>
      </c>
    </row>
    <row r="2145" spans="18:18" ht="13.8">
      <c r="R2145" s="10">
        <v>2117</v>
      </c>
    </row>
    <row r="2146" spans="18:18" ht="13.8">
      <c r="R2146" s="10">
        <v>2118</v>
      </c>
    </row>
    <row r="2147" spans="18:18" ht="13.8">
      <c r="R2147" s="10">
        <v>2119</v>
      </c>
    </row>
    <row r="2148" spans="18:18" ht="13.8">
      <c r="R2148" s="10">
        <v>2120</v>
      </c>
    </row>
    <row r="2149" spans="18:18" ht="13.8">
      <c r="R2149" s="10">
        <v>2121</v>
      </c>
    </row>
    <row r="2150" spans="18:18" ht="13.8">
      <c r="R2150" s="10">
        <v>2122</v>
      </c>
    </row>
    <row r="2151" spans="18:18" ht="13.8">
      <c r="R2151" s="10">
        <v>2123</v>
      </c>
    </row>
    <row r="2152" spans="18:18" ht="13.8">
      <c r="R2152" s="10">
        <v>2124</v>
      </c>
    </row>
    <row r="2153" spans="18:18" ht="13.8">
      <c r="R2153" s="10">
        <v>2125</v>
      </c>
    </row>
    <row r="2154" spans="18:18" ht="13.8">
      <c r="R2154" s="10">
        <v>2126</v>
      </c>
    </row>
    <row r="2155" spans="18:18" ht="13.8">
      <c r="R2155" s="10">
        <v>2127</v>
      </c>
    </row>
    <row r="2156" spans="18:18" ht="13.8">
      <c r="R2156" s="10">
        <v>2128</v>
      </c>
    </row>
    <row r="2157" spans="18:18" ht="13.8">
      <c r="R2157" s="10">
        <v>2129</v>
      </c>
    </row>
    <row r="2158" spans="18:18" ht="13.8">
      <c r="R2158" s="10">
        <v>2130</v>
      </c>
    </row>
    <row r="2159" spans="18:18" ht="13.8">
      <c r="R2159" s="10">
        <v>2131</v>
      </c>
    </row>
    <row r="2160" spans="18:18" ht="13.8">
      <c r="R2160" s="10">
        <v>2132</v>
      </c>
    </row>
    <row r="2161" spans="18:18" ht="13.8">
      <c r="R2161" s="10">
        <v>2133</v>
      </c>
    </row>
    <row r="2162" spans="18:18" ht="13.8">
      <c r="R2162" s="10">
        <v>2134</v>
      </c>
    </row>
    <row r="2163" spans="18:18" ht="13.8">
      <c r="R2163" s="10">
        <v>2135</v>
      </c>
    </row>
    <row r="2164" spans="18:18" ht="13.8">
      <c r="R2164" s="10">
        <v>2136</v>
      </c>
    </row>
    <row r="2165" spans="18:18" ht="13.8">
      <c r="R2165" s="10">
        <v>2137</v>
      </c>
    </row>
    <row r="2166" spans="18:18" ht="13.8">
      <c r="R2166" s="10">
        <v>2138</v>
      </c>
    </row>
    <row r="2167" spans="18:18" ht="13.8">
      <c r="R2167" s="10">
        <v>2139</v>
      </c>
    </row>
    <row r="2168" spans="18:18" ht="13.8">
      <c r="R2168" s="10">
        <v>2140</v>
      </c>
    </row>
    <row r="2169" spans="18:18" ht="13.8">
      <c r="R2169" s="10">
        <v>2141</v>
      </c>
    </row>
    <row r="2170" spans="18:18" ht="13.8">
      <c r="R2170" s="10">
        <v>2142</v>
      </c>
    </row>
    <row r="2171" spans="18:18" ht="13.8">
      <c r="R2171" s="10">
        <v>2143</v>
      </c>
    </row>
    <row r="2172" spans="18:18" ht="13.8">
      <c r="R2172" s="10">
        <v>2144</v>
      </c>
    </row>
    <row r="2173" spans="18:18" ht="13.8">
      <c r="R2173" s="10">
        <v>2145</v>
      </c>
    </row>
    <row r="2174" spans="18:18" ht="13.8">
      <c r="R2174" s="10">
        <v>2146</v>
      </c>
    </row>
    <row r="2175" spans="18:18" ht="13.8">
      <c r="R2175" s="10">
        <v>2147</v>
      </c>
    </row>
    <row r="2176" spans="18:18" ht="13.8">
      <c r="R2176" s="10">
        <v>2148</v>
      </c>
    </row>
    <row r="2177" spans="18:18" ht="13.8">
      <c r="R2177" s="10">
        <v>2149</v>
      </c>
    </row>
    <row r="2178" spans="18:18" ht="13.8">
      <c r="R2178" s="10">
        <v>2150</v>
      </c>
    </row>
    <row r="2179" spans="18:18" ht="13.8">
      <c r="R2179" s="10">
        <v>2151</v>
      </c>
    </row>
    <row r="2180" spans="18:18" ht="13.8">
      <c r="R2180" s="10">
        <v>2152</v>
      </c>
    </row>
    <row r="2181" spans="18:18" ht="13.8">
      <c r="R2181" s="10">
        <v>2153</v>
      </c>
    </row>
    <row r="2182" spans="18:18" ht="13.8">
      <c r="R2182" s="10">
        <v>2154</v>
      </c>
    </row>
    <row r="2183" spans="18:18" ht="13.8">
      <c r="R2183" s="10">
        <v>2155</v>
      </c>
    </row>
    <row r="2184" spans="18:18" ht="13.8">
      <c r="R2184" s="10">
        <v>2156</v>
      </c>
    </row>
    <row r="2185" spans="18:18" ht="13.8">
      <c r="R2185" s="10">
        <v>2157</v>
      </c>
    </row>
    <row r="2186" spans="18:18" ht="13.8">
      <c r="R2186" s="10">
        <v>2158</v>
      </c>
    </row>
    <row r="2187" spans="18:18" ht="13.8">
      <c r="R2187" s="10">
        <v>2159</v>
      </c>
    </row>
    <row r="2188" spans="18:18" ht="13.8">
      <c r="R2188" s="10">
        <v>2160</v>
      </c>
    </row>
    <row r="2189" spans="18:18" ht="13.8">
      <c r="R2189" s="10">
        <v>2161</v>
      </c>
    </row>
    <row r="2190" spans="18:18" ht="13.8">
      <c r="R2190" s="10">
        <v>2162</v>
      </c>
    </row>
    <row r="2191" spans="18:18" ht="13.8">
      <c r="R2191" s="10">
        <v>2163</v>
      </c>
    </row>
    <row r="2192" spans="18:18" ht="13.8">
      <c r="R2192" s="10">
        <v>2164</v>
      </c>
    </row>
    <row r="2193" spans="18:18" ht="13.8">
      <c r="R2193" s="10">
        <v>2165</v>
      </c>
    </row>
    <row r="2194" spans="18:18" ht="13.8">
      <c r="R2194" s="10">
        <v>2166</v>
      </c>
    </row>
    <row r="2195" spans="18:18" ht="13.8">
      <c r="R2195" s="10">
        <v>2167</v>
      </c>
    </row>
    <row r="2196" spans="18:18" ht="13.8">
      <c r="R2196" s="10">
        <v>2168</v>
      </c>
    </row>
    <row r="2197" spans="18:18" ht="13.8">
      <c r="R2197" s="10">
        <v>2169</v>
      </c>
    </row>
    <row r="2198" spans="18:18" ht="13.8">
      <c r="R2198" s="10">
        <v>2170</v>
      </c>
    </row>
    <row r="2199" spans="18:18" ht="13.8">
      <c r="R2199" s="10">
        <v>2171</v>
      </c>
    </row>
    <row r="2200" spans="18:18" ht="13.8">
      <c r="R2200" s="10">
        <v>2172</v>
      </c>
    </row>
    <row r="2201" spans="18:18" ht="13.8">
      <c r="R2201" s="10">
        <v>2173</v>
      </c>
    </row>
    <row r="2202" spans="18:18" ht="13.8">
      <c r="R2202" s="10">
        <v>2174</v>
      </c>
    </row>
    <row r="2203" spans="18:18" ht="13.8">
      <c r="R2203" s="10">
        <v>2175</v>
      </c>
    </row>
    <row r="2204" spans="18:18" ht="13.8">
      <c r="R2204" s="10">
        <v>2176</v>
      </c>
    </row>
    <row r="2205" spans="18:18" ht="13.8">
      <c r="R2205" s="10">
        <v>2177</v>
      </c>
    </row>
    <row r="2206" spans="18:18" ht="13.8">
      <c r="R2206" s="10">
        <v>2178</v>
      </c>
    </row>
    <row r="2207" spans="18:18" ht="13.8">
      <c r="R2207" s="10">
        <v>2179</v>
      </c>
    </row>
    <row r="2208" spans="18:18" ht="13.8">
      <c r="R2208" s="10">
        <v>2180</v>
      </c>
    </row>
    <row r="2209" spans="18:18" ht="13.8">
      <c r="R2209" s="10">
        <v>2181</v>
      </c>
    </row>
    <row r="2210" spans="18:18" ht="13.8">
      <c r="R2210" s="10">
        <v>2182</v>
      </c>
    </row>
    <row r="2211" spans="18:18" ht="13.8">
      <c r="R2211" s="10">
        <v>2183</v>
      </c>
    </row>
    <row r="2212" spans="18:18" ht="13.8">
      <c r="R2212" s="10">
        <v>2184</v>
      </c>
    </row>
    <row r="2213" spans="18:18" ht="13.8">
      <c r="R2213" s="10">
        <v>2185</v>
      </c>
    </row>
    <row r="2214" spans="18:18" ht="13.8">
      <c r="R2214" s="10">
        <v>2186</v>
      </c>
    </row>
    <row r="2215" spans="18:18" ht="13.8">
      <c r="R2215" s="10">
        <v>2187</v>
      </c>
    </row>
    <row r="2216" spans="18:18" ht="13.8">
      <c r="R2216" s="10">
        <v>2188</v>
      </c>
    </row>
    <row r="2217" spans="18:18" ht="13.8">
      <c r="R2217" s="10">
        <v>2189</v>
      </c>
    </row>
    <row r="2218" spans="18:18" ht="13.8">
      <c r="R2218" s="10">
        <v>2190</v>
      </c>
    </row>
    <row r="2219" spans="18:18" ht="13.8">
      <c r="R2219" s="10">
        <v>2191</v>
      </c>
    </row>
    <row r="2220" spans="18:18" ht="13.8">
      <c r="R2220" s="10">
        <v>2192</v>
      </c>
    </row>
    <row r="2221" spans="18:18" ht="13.8">
      <c r="R2221" s="10">
        <v>2193</v>
      </c>
    </row>
    <row r="2222" spans="18:18" ht="13.8">
      <c r="R2222" s="10">
        <v>2194</v>
      </c>
    </row>
    <row r="2223" spans="18:18" ht="13.8">
      <c r="R2223" s="10">
        <v>2195</v>
      </c>
    </row>
    <row r="2224" spans="18:18" ht="13.8">
      <c r="R2224" s="10">
        <v>2196</v>
      </c>
    </row>
    <row r="2225" spans="18:18" ht="13.8">
      <c r="R2225" s="10">
        <v>2197</v>
      </c>
    </row>
    <row r="2226" spans="18:18" ht="13.8">
      <c r="R2226" s="10">
        <v>2198</v>
      </c>
    </row>
    <row r="2227" spans="18:18" ht="13.8">
      <c r="R2227" s="10">
        <v>2199</v>
      </c>
    </row>
    <row r="2228" spans="18:18" ht="13.8">
      <c r="R2228" s="10">
        <v>2200</v>
      </c>
    </row>
    <row r="2229" spans="18:18" ht="13.8">
      <c r="R2229" s="10">
        <v>2201</v>
      </c>
    </row>
    <row r="2230" spans="18:18" ht="13.8">
      <c r="R2230" s="10">
        <v>2202</v>
      </c>
    </row>
    <row r="2231" spans="18:18" ht="13.8">
      <c r="R2231" s="10">
        <v>2203</v>
      </c>
    </row>
    <row r="2232" spans="18:18" ht="13.8">
      <c r="R2232" s="10">
        <v>2204</v>
      </c>
    </row>
    <row r="2233" spans="18:18" ht="13.8">
      <c r="R2233" s="10">
        <v>2205</v>
      </c>
    </row>
    <row r="2234" spans="18:18" ht="13.8">
      <c r="R2234" s="10">
        <v>2206</v>
      </c>
    </row>
    <row r="2235" spans="18:18" ht="13.8">
      <c r="R2235" s="10">
        <v>2207</v>
      </c>
    </row>
    <row r="2236" spans="18:18" ht="13.8">
      <c r="R2236" s="10">
        <v>2208</v>
      </c>
    </row>
    <row r="2237" spans="18:18" ht="13.8">
      <c r="R2237" s="10">
        <v>2209</v>
      </c>
    </row>
    <row r="2238" spans="18:18" ht="13.8">
      <c r="R2238" s="10">
        <v>2210</v>
      </c>
    </row>
    <row r="2239" spans="18:18" ht="13.8">
      <c r="R2239" s="10">
        <v>2211</v>
      </c>
    </row>
    <row r="2240" spans="18:18" ht="13.8">
      <c r="R2240" s="10">
        <v>2212</v>
      </c>
    </row>
    <row r="2241" spans="18:18" ht="13.8">
      <c r="R2241" s="10">
        <v>2213</v>
      </c>
    </row>
    <row r="2242" spans="18:18" ht="13.8">
      <c r="R2242" s="10">
        <v>2214</v>
      </c>
    </row>
    <row r="2243" spans="18:18" ht="13.8">
      <c r="R2243" s="10">
        <v>2215</v>
      </c>
    </row>
    <row r="2244" spans="18:18" ht="13.8">
      <c r="R2244" s="10">
        <v>2216</v>
      </c>
    </row>
    <row r="2245" spans="18:18" ht="13.8">
      <c r="R2245" s="10">
        <v>2217</v>
      </c>
    </row>
    <row r="2246" spans="18:18" ht="13.8">
      <c r="R2246" s="10">
        <v>2218</v>
      </c>
    </row>
    <row r="2247" spans="18:18" ht="13.8">
      <c r="R2247" s="10">
        <v>2219</v>
      </c>
    </row>
    <row r="2248" spans="18:18" ht="13.8">
      <c r="R2248" s="10">
        <v>2220</v>
      </c>
    </row>
    <row r="2249" spans="18:18" ht="13.8">
      <c r="R2249" s="10">
        <v>2221</v>
      </c>
    </row>
    <row r="2250" spans="18:18" ht="13.8">
      <c r="R2250" s="10">
        <v>2222</v>
      </c>
    </row>
    <row r="2251" spans="18:18" ht="13.8">
      <c r="R2251" s="10">
        <v>2223</v>
      </c>
    </row>
    <row r="2252" spans="18:18" ht="13.8">
      <c r="R2252" s="10">
        <v>2224</v>
      </c>
    </row>
    <row r="2253" spans="18:18" ht="13.8">
      <c r="R2253" s="10">
        <v>2225</v>
      </c>
    </row>
    <row r="2254" spans="18:18" ht="13.8">
      <c r="R2254" s="10">
        <v>2226</v>
      </c>
    </row>
    <row r="2255" spans="18:18" ht="13.8">
      <c r="R2255" s="10">
        <v>2227</v>
      </c>
    </row>
    <row r="2256" spans="18:18" ht="13.8">
      <c r="R2256" s="10">
        <v>2228</v>
      </c>
    </row>
    <row r="2257" spans="18:18" ht="13.8">
      <c r="R2257" s="10">
        <v>2229</v>
      </c>
    </row>
    <row r="2258" spans="18:18" ht="13.8">
      <c r="R2258" s="10">
        <v>2230</v>
      </c>
    </row>
    <row r="2259" spans="18:18" ht="13.8">
      <c r="R2259" s="10">
        <v>2231</v>
      </c>
    </row>
    <row r="2260" spans="18:18" ht="13.8">
      <c r="R2260" s="10">
        <v>2232</v>
      </c>
    </row>
    <row r="2261" spans="18:18" ht="13.8">
      <c r="R2261" s="10">
        <v>2233</v>
      </c>
    </row>
    <row r="2262" spans="18:18" ht="13.8">
      <c r="R2262" s="10">
        <v>2234</v>
      </c>
    </row>
    <row r="2263" spans="18:18" ht="13.8">
      <c r="R2263" s="10">
        <v>2235</v>
      </c>
    </row>
    <row r="2264" spans="18:18" ht="13.8">
      <c r="R2264" s="10">
        <v>2236</v>
      </c>
    </row>
    <row r="2265" spans="18:18" ht="13.8">
      <c r="R2265" s="10">
        <v>2237</v>
      </c>
    </row>
    <row r="2266" spans="18:18" ht="13.8">
      <c r="R2266" s="10">
        <v>2238</v>
      </c>
    </row>
    <row r="2267" spans="18:18" ht="13.8">
      <c r="R2267" s="10">
        <v>2239</v>
      </c>
    </row>
    <row r="2268" spans="18:18" ht="13.8">
      <c r="R2268" s="10">
        <v>2240</v>
      </c>
    </row>
    <row r="2269" spans="18:18" ht="13.8">
      <c r="R2269" s="10">
        <v>2241</v>
      </c>
    </row>
    <row r="2270" spans="18:18" ht="13.8">
      <c r="R2270" s="10">
        <v>2242</v>
      </c>
    </row>
    <row r="2271" spans="18:18" ht="13.8">
      <c r="R2271" s="10">
        <v>2243</v>
      </c>
    </row>
    <row r="2272" spans="18:18" ht="13.8">
      <c r="R2272" s="10">
        <v>2244</v>
      </c>
    </row>
    <row r="2273" spans="18:18" ht="13.8">
      <c r="R2273" s="10">
        <v>2245</v>
      </c>
    </row>
    <row r="2274" spans="18:18" ht="13.8">
      <c r="R2274" s="10">
        <v>2246</v>
      </c>
    </row>
    <row r="2275" spans="18:18" ht="13.8">
      <c r="R2275" s="10">
        <v>2247</v>
      </c>
    </row>
    <row r="2276" spans="18:18" ht="13.8">
      <c r="R2276" s="10">
        <v>2248</v>
      </c>
    </row>
    <row r="2277" spans="18:18" ht="13.8">
      <c r="R2277" s="10">
        <v>2249</v>
      </c>
    </row>
    <row r="2278" spans="18:18" ht="13.8">
      <c r="R2278" s="10">
        <v>2250</v>
      </c>
    </row>
    <row r="2279" spans="18:18" ht="13.8">
      <c r="R2279" s="10">
        <v>2251</v>
      </c>
    </row>
    <row r="2280" spans="18:18" ht="13.8">
      <c r="R2280" s="10">
        <v>2252</v>
      </c>
    </row>
    <row r="2281" spans="18:18" ht="13.8">
      <c r="R2281" s="10">
        <v>2253</v>
      </c>
    </row>
    <row r="2282" spans="18:18" ht="13.8">
      <c r="R2282" s="10">
        <v>2254</v>
      </c>
    </row>
    <row r="2283" spans="18:18" ht="13.8">
      <c r="R2283" s="10">
        <v>2255</v>
      </c>
    </row>
    <row r="2284" spans="18:18" ht="13.8">
      <c r="R2284" s="10">
        <v>2256</v>
      </c>
    </row>
    <row r="2285" spans="18:18" ht="13.8">
      <c r="R2285" s="10">
        <v>2257</v>
      </c>
    </row>
    <row r="2286" spans="18:18" ht="13.8">
      <c r="R2286" s="10">
        <v>2258</v>
      </c>
    </row>
    <row r="2287" spans="18:18" ht="13.8">
      <c r="R2287" s="10">
        <v>2259</v>
      </c>
    </row>
    <row r="2288" spans="18:18" ht="13.8">
      <c r="R2288" s="10">
        <v>2260</v>
      </c>
    </row>
    <row r="2289" spans="18:18" ht="13.8">
      <c r="R2289" s="10">
        <v>2261</v>
      </c>
    </row>
    <row r="2290" spans="18:18" ht="13.8">
      <c r="R2290" s="10">
        <v>2262</v>
      </c>
    </row>
    <row r="2291" spans="18:18" ht="13.8">
      <c r="R2291" s="10">
        <v>2263</v>
      </c>
    </row>
    <row r="2292" spans="18:18" ht="13.8">
      <c r="R2292" s="10">
        <v>2264</v>
      </c>
    </row>
    <row r="2293" spans="18:18" ht="13.8">
      <c r="R2293" s="10">
        <v>2265</v>
      </c>
    </row>
    <row r="2294" spans="18:18" ht="13.8">
      <c r="R2294" s="10">
        <v>2266</v>
      </c>
    </row>
    <row r="2295" spans="18:18" ht="13.8">
      <c r="R2295" s="10">
        <v>2267</v>
      </c>
    </row>
    <row r="2296" spans="18:18" ht="13.8">
      <c r="R2296" s="10">
        <v>2268</v>
      </c>
    </row>
    <row r="2297" spans="18:18" ht="13.8">
      <c r="R2297" s="10">
        <v>2269</v>
      </c>
    </row>
    <row r="2298" spans="18:18" ht="13.8">
      <c r="R2298" s="10">
        <v>2270</v>
      </c>
    </row>
    <row r="2299" spans="18:18" ht="13.8">
      <c r="R2299" s="10">
        <v>2271</v>
      </c>
    </row>
    <row r="2300" spans="18:18" ht="13.8">
      <c r="R2300" s="10">
        <v>2272</v>
      </c>
    </row>
    <row r="2301" spans="18:18" ht="13.8">
      <c r="R2301" s="10">
        <v>2273</v>
      </c>
    </row>
    <row r="2302" spans="18:18" ht="13.8">
      <c r="R2302" s="10">
        <v>2274</v>
      </c>
    </row>
    <row r="2303" spans="18:18" ht="13.8">
      <c r="R2303" s="10">
        <v>2275</v>
      </c>
    </row>
    <row r="2304" spans="18:18" ht="13.8">
      <c r="R2304" s="10">
        <v>2276</v>
      </c>
    </row>
    <row r="2305" spans="18:18" ht="13.8">
      <c r="R2305" s="10">
        <v>2277</v>
      </c>
    </row>
    <row r="2306" spans="18:18" ht="13.8">
      <c r="R2306" s="10">
        <v>2278</v>
      </c>
    </row>
    <row r="2307" spans="18:18" ht="13.8">
      <c r="R2307" s="10">
        <v>2279</v>
      </c>
    </row>
    <row r="2308" spans="18:18" ht="13.8">
      <c r="R2308" s="10">
        <v>2280</v>
      </c>
    </row>
    <row r="2309" spans="18:18" ht="13.8">
      <c r="R2309" s="10">
        <v>2281</v>
      </c>
    </row>
    <row r="2310" spans="18:18" ht="13.8">
      <c r="R2310" s="10">
        <v>2282</v>
      </c>
    </row>
    <row r="2311" spans="18:18" ht="13.8">
      <c r="R2311" s="10">
        <v>2283</v>
      </c>
    </row>
    <row r="2312" spans="18:18" ht="13.8">
      <c r="R2312" s="10">
        <v>2284</v>
      </c>
    </row>
    <row r="2313" spans="18:18" ht="13.8">
      <c r="R2313" s="10">
        <v>2285</v>
      </c>
    </row>
    <row r="2314" spans="18:18" ht="13.8">
      <c r="R2314" s="10">
        <v>2286</v>
      </c>
    </row>
    <row r="2315" spans="18:18" ht="13.8">
      <c r="R2315" s="10">
        <v>2287</v>
      </c>
    </row>
    <row r="2316" spans="18:18" ht="13.8">
      <c r="R2316" s="10">
        <v>2288</v>
      </c>
    </row>
    <row r="2317" spans="18:18" ht="13.8">
      <c r="R2317" s="10">
        <v>2289</v>
      </c>
    </row>
    <row r="2318" spans="18:18" ht="13.8">
      <c r="R2318" s="10">
        <v>2290</v>
      </c>
    </row>
    <row r="2319" spans="18:18" ht="13.8">
      <c r="R2319" s="10">
        <v>2291</v>
      </c>
    </row>
    <row r="2320" spans="18:18" ht="13.8">
      <c r="R2320" s="10">
        <v>2292</v>
      </c>
    </row>
    <row r="2321" spans="18:18" ht="13.8">
      <c r="R2321" s="10">
        <v>2293</v>
      </c>
    </row>
    <row r="2322" spans="18:18" ht="13.8">
      <c r="R2322" s="10">
        <v>2294</v>
      </c>
    </row>
    <row r="2323" spans="18:18" ht="13.8">
      <c r="R2323" s="10">
        <v>2295</v>
      </c>
    </row>
    <row r="2324" spans="18:18" ht="13.8">
      <c r="R2324" s="10">
        <v>2296</v>
      </c>
    </row>
    <row r="2325" spans="18:18" ht="13.8">
      <c r="R2325" s="10">
        <v>2297</v>
      </c>
    </row>
    <row r="2326" spans="18:18" ht="13.8">
      <c r="R2326" s="10">
        <v>2298</v>
      </c>
    </row>
    <row r="2327" spans="18:18" ht="13.8">
      <c r="R2327" s="10">
        <v>2299</v>
      </c>
    </row>
    <row r="2328" spans="18:18" ht="13.8">
      <c r="R2328" s="10">
        <v>2300</v>
      </c>
    </row>
    <row r="2329" spans="18:18" ht="13.8">
      <c r="R2329" s="10">
        <v>2301</v>
      </c>
    </row>
    <row r="2330" spans="18:18" ht="13.8">
      <c r="R2330" s="10">
        <v>2302</v>
      </c>
    </row>
    <row r="2331" spans="18:18" ht="13.8">
      <c r="R2331" s="10">
        <v>2303</v>
      </c>
    </row>
    <row r="2332" spans="18:18" ht="13.8">
      <c r="R2332" s="10">
        <v>2304</v>
      </c>
    </row>
    <row r="2333" spans="18:18" ht="13.8">
      <c r="R2333" s="10">
        <v>2305</v>
      </c>
    </row>
    <row r="2334" spans="18:18" ht="13.8">
      <c r="R2334" s="10">
        <v>2306</v>
      </c>
    </row>
    <row r="2335" spans="18:18" ht="13.8">
      <c r="R2335" s="10">
        <v>2307</v>
      </c>
    </row>
    <row r="2336" spans="18:18" ht="13.8">
      <c r="R2336" s="10">
        <v>2308</v>
      </c>
    </row>
    <row r="2337" spans="18:18" ht="13.8">
      <c r="R2337" s="10">
        <v>2309</v>
      </c>
    </row>
    <row r="2338" spans="18:18" ht="13.8">
      <c r="R2338" s="10">
        <v>2310</v>
      </c>
    </row>
    <row r="2339" spans="18:18" ht="13.8">
      <c r="R2339" s="10">
        <v>2311</v>
      </c>
    </row>
    <row r="2340" spans="18:18" ht="13.8">
      <c r="R2340" s="10">
        <v>2312</v>
      </c>
    </row>
    <row r="2341" spans="18:18" ht="13.8">
      <c r="R2341" s="10">
        <v>2313</v>
      </c>
    </row>
    <row r="2342" spans="18:18" ht="13.8">
      <c r="R2342" s="10">
        <v>2314</v>
      </c>
    </row>
    <row r="2343" spans="18:18" ht="13.8">
      <c r="R2343" s="10">
        <v>2315</v>
      </c>
    </row>
    <row r="2344" spans="18:18" ht="13.8">
      <c r="R2344" s="10">
        <v>2316</v>
      </c>
    </row>
    <row r="2345" spans="18:18" ht="13.8">
      <c r="R2345" s="10">
        <v>2317</v>
      </c>
    </row>
    <row r="2346" spans="18:18" ht="13.8">
      <c r="R2346" s="10">
        <v>2318</v>
      </c>
    </row>
    <row r="2347" spans="18:18" ht="13.8">
      <c r="R2347" s="10">
        <v>2319</v>
      </c>
    </row>
    <row r="2348" spans="18:18" ht="13.8">
      <c r="R2348" s="10">
        <v>2320</v>
      </c>
    </row>
    <row r="2349" spans="18:18" ht="13.8">
      <c r="R2349" s="10">
        <v>2321</v>
      </c>
    </row>
    <row r="2350" spans="18:18" ht="13.8">
      <c r="R2350" s="10">
        <v>2322</v>
      </c>
    </row>
    <row r="2351" spans="18:18" ht="13.8">
      <c r="R2351" s="10">
        <v>2323</v>
      </c>
    </row>
    <row r="2352" spans="18:18" ht="13.8">
      <c r="R2352" s="10">
        <v>2324</v>
      </c>
    </row>
    <row r="2353" spans="18:18" ht="13.8">
      <c r="R2353" s="10">
        <v>2325</v>
      </c>
    </row>
    <row r="2354" spans="18:18" ht="13.8">
      <c r="R2354" s="10">
        <v>2326</v>
      </c>
    </row>
    <row r="2355" spans="18:18" ht="13.8">
      <c r="R2355" s="10">
        <v>2327</v>
      </c>
    </row>
    <row r="2356" spans="18:18" ht="13.8">
      <c r="R2356" s="10">
        <v>2328</v>
      </c>
    </row>
    <row r="2357" spans="18:18" ht="13.8">
      <c r="R2357" s="10">
        <v>2329</v>
      </c>
    </row>
    <row r="2358" spans="18:18" ht="13.8">
      <c r="R2358" s="10">
        <v>2330</v>
      </c>
    </row>
    <row r="2359" spans="18:18" ht="13.8">
      <c r="R2359" s="10">
        <v>2331</v>
      </c>
    </row>
    <row r="2360" spans="18:18" ht="13.8">
      <c r="R2360" s="10">
        <v>2332</v>
      </c>
    </row>
    <row r="2361" spans="18:18" ht="13.8">
      <c r="R2361" s="10">
        <v>2333</v>
      </c>
    </row>
    <row r="2362" spans="18:18" ht="13.8">
      <c r="R2362" s="10">
        <v>2334</v>
      </c>
    </row>
    <row r="2363" spans="18:18" ht="13.8">
      <c r="R2363" s="10">
        <v>2335</v>
      </c>
    </row>
    <row r="2364" spans="18:18" ht="13.8">
      <c r="R2364" s="10">
        <v>2336</v>
      </c>
    </row>
    <row r="2365" spans="18:18" ht="13.8">
      <c r="R2365" s="10">
        <v>2337</v>
      </c>
    </row>
    <row r="2366" spans="18:18" ht="13.8">
      <c r="R2366" s="10">
        <v>2338</v>
      </c>
    </row>
    <row r="2367" spans="18:18" ht="13.8">
      <c r="R2367" s="10">
        <v>2339</v>
      </c>
    </row>
    <row r="2368" spans="18:18" ht="13.8">
      <c r="R2368" s="10">
        <v>2340</v>
      </c>
    </row>
    <row r="2369" spans="18:18" ht="13.8">
      <c r="R2369" s="10">
        <v>2341</v>
      </c>
    </row>
    <row r="2370" spans="18:18" ht="13.8">
      <c r="R2370" s="10">
        <v>2342</v>
      </c>
    </row>
    <row r="2371" spans="18:18" ht="13.8">
      <c r="R2371" s="10">
        <v>2343</v>
      </c>
    </row>
    <row r="2372" spans="18:18" ht="13.8">
      <c r="R2372" s="10">
        <v>2344</v>
      </c>
    </row>
    <row r="2373" spans="18:18" ht="13.8">
      <c r="R2373" s="10">
        <v>2345</v>
      </c>
    </row>
    <row r="2374" spans="18:18" ht="13.8">
      <c r="R2374" s="10">
        <v>2346</v>
      </c>
    </row>
    <row r="2375" spans="18:18" ht="13.8">
      <c r="R2375" s="10">
        <v>2347</v>
      </c>
    </row>
    <row r="2376" spans="18:18" ht="13.8">
      <c r="R2376" s="10">
        <v>2348</v>
      </c>
    </row>
    <row r="2377" spans="18:18" ht="13.8">
      <c r="R2377" s="10">
        <v>2349</v>
      </c>
    </row>
    <row r="2378" spans="18:18" ht="13.8">
      <c r="R2378" s="10">
        <v>2350</v>
      </c>
    </row>
    <row r="2379" spans="18:18" ht="13.8">
      <c r="R2379" s="10">
        <v>2351</v>
      </c>
    </row>
    <row r="2380" spans="18:18" ht="13.8">
      <c r="R2380" s="10">
        <v>2352</v>
      </c>
    </row>
    <row r="2381" spans="18:18" ht="13.8">
      <c r="R2381" s="10">
        <v>2353</v>
      </c>
    </row>
    <row r="2382" spans="18:18" ht="13.8">
      <c r="R2382" s="10">
        <v>2354</v>
      </c>
    </row>
    <row r="2383" spans="18:18" ht="13.8">
      <c r="R2383" s="10">
        <v>2355</v>
      </c>
    </row>
    <row r="2384" spans="18:18" ht="13.8">
      <c r="R2384" s="10">
        <v>2356</v>
      </c>
    </row>
    <row r="2385" spans="18:18" ht="13.8">
      <c r="R2385" s="10">
        <v>2357</v>
      </c>
    </row>
    <row r="2386" spans="18:18" ht="13.8">
      <c r="R2386" s="10">
        <v>2358</v>
      </c>
    </row>
    <row r="2387" spans="18:18" ht="13.8">
      <c r="R2387" s="10">
        <v>2359</v>
      </c>
    </row>
    <row r="2388" spans="18:18" ht="13.8">
      <c r="R2388" s="10">
        <v>2360</v>
      </c>
    </row>
    <row r="2389" spans="18:18" ht="13.8">
      <c r="R2389" s="10">
        <v>2361</v>
      </c>
    </row>
    <row r="2390" spans="18:18" ht="13.8">
      <c r="R2390" s="10">
        <v>2362</v>
      </c>
    </row>
    <row r="2391" spans="18:18" ht="13.8">
      <c r="R2391" s="10">
        <v>2363</v>
      </c>
    </row>
    <row r="2392" spans="18:18" ht="13.8">
      <c r="R2392" s="10">
        <v>2364</v>
      </c>
    </row>
    <row r="2393" spans="18:18" ht="13.8">
      <c r="R2393" s="10">
        <v>2365</v>
      </c>
    </row>
    <row r="2394" spans="18:18" ht="13.8">
      <c r="R2394" s="10">
        <v>2366</v>
      </c>
    </row>
    <row r="2395" spans="18:18" ht="13.8">
      <c r="R2395" s="10">
        <v>2367</v>
      </c>
    </row>
    <row r="2396" spans="18:18" ht="13.8">
      <c r="R2396" s="10">
        <v>2368</v>
      </c>
    </row>
    <row r="2397" spans="18:18" ht="13.8">
      <c r="R2397" s="10">
        <v>2369</v>
      </c>
    </row>
    <row r="2398" spans="18:18" ht="13.8">
      <c r="R2398" s="10">
        <v>2370</v>
      </c>
    </row>
    <row r="2399" spans="18:18" ht="13.8">
      <c r="R2399" s="10">
        <v>2371</v>
      </c>
    </row>
    <row r="2400" spans="18:18" ht="13.8">
      <c r="R2400" s="10">
        <v>2372</v>
      </c>
    </row>
    <row r="2401" spans="18:18" ht="13.8">
      <c r="R2401" s="10">
        <v>2373</v>
      </c>
    </row>
    <row r="2402" spans="18:18" ht="13.8">
      <c r="R2402" s="10">
        <v>2374</v>
      </c>
    </row>
    <row r="2403" spans="18:18" ht="13.8">
      <c r="R2403" s="10">
        <v>2375</v>
      </c>
    </row>
    <row r="2404" spans="18:18" ht="13.8">
      <c r="R2404" s="10">
        <v>2376</v>
      </c>
    </row>
    <row r="2405" spans="18:18" ht="13.8">
      <c r="R2405" s="10">
        <v>2377</v>
      </c>
    </row>
    <row r="2406" spans="18:18" ht="13.8">
      <c r="R2406" s="10">
        <v>2378</v>
      </c>
    </row>
    <row r="2407" spans="18:18" ht="13.8">
      <c r="R2407" s="10">
        <v>2379</v>
      </c>
    </row>
    <row r="2408" spans="18:18" ht="13.8">
      <c r="R2408" s="10">
        <v>2380</v>
      </c>
    </row>
    <row r="2409" spans="18:18" ht="13.8">
      <c r="R2409" s="10">
        <v>2381</v>
      </c>
    </row>
    <row r="2410" spans="18:18" ht="13.8">
      <c r="R2410" s="10">
        <v>2382</v>
      </c>
    </row>
    <row r="2411" spans="18:18" ht="13.8">
      <c r="R2411" s="10">
        <v>2383</v>
      </c>
    </row>
    <row r="2412" spans="18:18" ht="13.8">
      <c r="R2412" s="10">
        <v>2384</v>
      </c>
    </row>
    <row r="2413" spans="18:18" ht="13.8">
      <c r="R2413" s="10">
        <v>2385</v>
      </c>
    </row>
    <row r="2414" spans="18:18" ht="13.8">
      <c r="R2414" s="10">
        <v>2386</v>
      </c>
    </row>
    <row r="2415" spans="18:18" ht="13.8">
      <c r="R2415" s="10">
        <v>2387</v>
      </c>
    </row>
    <row r="2416" spans="18:18" ht="13.8">
      <c r="R2416" s="10">
        <v>2388</v>
      </c>
    </row>
    <row r="2417" spans="18:18" ht="13.8">
      <c r="R2417" s="10">
        <v>2389</v>
      </c>
    </row>
    <row r="2418" spans="18:18" ht="13.8">
      <c r="R2418" s="10">
        <v>2390</v>
      </c>
    </row>
    <row r="2419" spans="18:18" ht="13.8">
      <c r="R2419" s="10">
        <v>2391</v>
      </c>
    </row>
    <row r="2420" spans="18:18" ht="13.8">
      <c r="R2420" s="10">
        <v>2392</v>
      </c>
    </row>
    <row r="2421" spans="18:18" ht="13.8">
      <c r="R2421" s="10">
        <v>2393</v>
      </c>
    </row>
    <row r="2422" spans="18:18" ht="13.8">
      <c r="R2422" s="10">
        <v>2394</v>
      </c>
    </row>
    <row r="2423" spans="18:18" ht="13.8">
      <c r="R2423" s="10">
        <v>2395</v>
      </c>
    </row>
    <row r="2424" spans="18:18" ht="13.8">
      <c r="R2424" s="10">
        <v>2396</v>
      </c>
    </row>
    <row r="2425" spans="18:18" ht="13.8">
      <c r="R2425" s="10">
        <v>2397</v>
      </c>
    </row>
    <row r="2426" spans="18:18" ht="13.8">
      <c r="R2426" s="10">
        <v>2398</v>
      </c>
    </row>
    <row r="2427" spans="18:18" ht="13.8">
      <c r="R2427" s="10">
        <v>2399</v>
      </c>
    </row>
    <row r="2428" spans="18:18" ht="13.8">
      <c r="R2428" s="10">
        <v>2400</v>
      </c>
    </row>
    <row r="2429" spans="18:18" ht="13.8">
      <c r="R2429" s="10">
        <v>2401</v>
      </c>
    </row>
    <row r="2430" spans="18:18" ht="13.8">
      <c r="R2430" s="10">
        <v>2402</v>
      </c>
    </row>
    <row r="2431" spans="18:18" ht="13.8">
      <c r="R2431" s="10">
        <v>2403</v>
      </c>
    </row>
    <row r="2432" spans="18:18" ht="13.8">
      <c r="R2432" s="10">
        <v>2404</v>
      </c>
    </row>
    <row r="2433" spans="18:18" ht="13.8">
      <c r="R2433" s="10">
        <v>2405</v>
      </c>
    </row>
    <row r="2434" spans="18:18" ht="13.8">
      <c r="R2434" s="10">
        <v>2406</v>
      </c>
    </row>
    <row r="2435" spans="18:18" ht="13.8">
      <c r="R2435" s="10">
        <v>2407</v>
      </c>
    </row>
    <row r="2436" spans="18:18" ht="13.8">
      <c r="R2436" s="10">
        <v>2408</v>
      </c>
    </row>
    <row r="2437" spans="18:18" ht="13.8">
      <c r="R2437" s="10">
        <v>2409</v>
      </c>
    </row>
    <row r="2438" spans="18:18" ht="13.8">
      <c r="R2438" s="10">
        <v>2410</v>
      </c>
    </row>
    <row r="2439" spans="18:18" ht="13.8">
      <c r="R2439" s="10">
        <v>2411</v>
      </c>
    </row>
    <row r="2440" spans="18:18" ht="13.8">
      <c r="R2440" s="10">
        <v>2412</v>
      </c>
    </row>
    <row r="2441" spans="18:18" ht="13.8">
      <c r="R2441" s="10">
        <v>2413</v>
      </c>
    </row>
    <row r="2442" spans="18:18" ht="13.8">
      <c r="R2442" s="10">
        <v>2414</v>
      </c>
    </row>
    <row r="2443" spans="18:18" ht="13.8">
      <c r="R2443" s="10">
        <v>2415</v>
      </c>
    </row>
    <row r="2444" spans="18:18" ht="13.8">
      <c r="R2444" s="10">
        <v>2416</v>
      </c>
    </row>
    <row r="2445" spans="18:18" ht="13.8">
      <c r="R2445" s="10">
        <v>2417</v>
      </c>
    </row>
    <row r="2446" spans="18:18" ht="13.8">
      <c r="R2446" s="10">
        <v>2418</v>
      </c>
    </row>
    <row r="2447" spans="18:18" ht="13.8">
      <c r="R2447" s="10">
        <v>2419</v>
      </c>
    </row>
    <row r="2448" spans="18:18" ht="13.8">
      <c r="R2448" s="10">
        <v>2420</v>
      </c>
    </row>
    <row r="2449" spans="18:18" ht="13.8">
      <c r="R2449" s="10">
        <v>2421</v>
      </c>
    </row>
    <row r="2450" spans="18:18" ht="13.8">
      <c r="R2450" s="10">
        <v>2422</v>
      </c>
    </row>
    <row r="2451" spans="18:18" ht="13.8">
      <c r="R2451" s="10">
        <v>2423</v>
      </c>
    </row>
    <row r="2452" spans="18:18" ht="13.8">
      <c r="R2452" s="10">
        <v>2424</v>
      </c>
    </row>
    <row r="2453" spans="18:18" ht="13.8">
      <c r="R2453" s="10">
        <v>2425</v>
      </c>
    </row>
    <row r="2454" spans="18:18" ht="13.8">
      <c r="R2454" s="10">
        <v>2426</v>
      </c>
    </row>
    <row r="2455" spans="18:18" ht="13.8">
      <c r="R2455" s="10">
        <v>2427</v>
      </c>
    </row>
    <row r="2456" spans="18:18" ht="13.8">
      <c r="R2456" s="10">
        <v>2428</v>
      </c>
    </row>
    <row r="2457" spans="18:18" ht="13.8">
      <c r="R2457" s="10">
        <v>2429</v>
      </c>
    </row>
    <row r="2458" spans="18:18" ht="13.8">
      <c r="R2458" s="10">
        <v>2430</v>
      </c>
    </row>
    <row r="2459" spans="18:18" ht="13.8">
      <c r="R2459" s="10">
        <v>2431</v>
      </c>
    </row>
    <row r="2460" spans="18:18" ht="13.8">
      <c r="R2460" s="10">
        <v>2432</v>
      </c>
    </row>
    <row r="2461" spans="18:18" ht="13.8">
      <c r="R2461" s="10">
        <v>2433</v>
      </c>
    </row>
    <row r="2462" spans="18:18" ht="13.8">
      <c r="R2462" s="10">
        <v>2434</v>
      </c>
    </row>
    <row r="2463" spans="18:18" ht="13.8">
      <c r="R2463" s="10">
        <v>2435</v>
      </c>
    </row>
    <row r="2464" spans="18:18" ht="13.8">
      <c r="R2464" s="10">
        <v>2436</v>
      </c>
    </row>
    <row r="2465" spans="18:18" ht="13.8">
      <c r="R2465" s="10">
        <v>2437</v>
      </c>
    </row>
    <row r="2466" spans="18:18" ht="13.8">
      <c r="R2466" s="10">
        <v>2438</v>
      </c>
    </row>
    <row r="2467" spans="18:18" ht="13.8">
      <c r="R2467" s="10">
        <v>2439</v>
      </c>
    </row>
    <row r="2468" spans="18:18" ht="13.8">
      <c r="R2468" s="10">
        <v>2440</v>
      </c>
    </row>
    <row r="2469" spans="18:18" ht="13.8">
      <c r="R2469" s="10">
        <v>2441</v>
      </c>
    </row>
    <row r="2470" spans="18:18" ht="13.8">
      <c r="R2470" s="10">
        <v>2442</v>
      </c>
    </row>
    <row r="2471" spans="18:18" ht="13.8">
      <c r="R2471" s="10">
        <v>2443</v>
      </c>
    </row>
    <row r="2472" spans="18:18" ht="13.8">
      <c r="R2472" s="10">
        <v>2444</v>
      </c>
    </row>
    <row r="2473" spans="18:18" ht="13.8">
      <c r="R2473" s="10">
        <v>2445</v>
      </c>
    </row>
    <row r="2474" spans="18:18" ht="13.8">
      <c r="R2474" s="10">
        <v>2446</v>
      </c>
    </row>
    <row r="2475" spans="18:18" ht="13.8">
      <c r="R2475" s="10">
        <v>2447</v>
      </c>
    </row>
    <row r="2476" spans="18:18" ht="13.8">
      <c r="R2476" s="10">
        <v>2448</v>
      </c>
    </row>
    <row r="2477" spans="18:18" ht="13.8">
      <c r="R2477" s="10">
        <v>2449</v>
      </c>
    </row>
    <row r="2478" spans="18:18" ht="13.8">
      <c r="R2478" s="10">
        <v>2450</v>
      </c>
    </row>
    <row r="2479" spans="18:18" ht="13.8">
      <c r="R2479" s="10">
        <v>2451</v>
      </c>
    </row>
    <row r="2480" spans="18:18" ht="13.8">
      <c r="R2480" s="10">
        <v>2452</v>
      </c>
    </row>
    <row r="2481" spans="18:18" ht="13.8">
      <c r="R2481" s="10">
        <v>2453</v>
      </c>
    </row>
    <row r="2482" spans="18:18" ht="13.8">
      <c r="R2482" s="10">
        <v>2454</v>
      </c>
    </row>
    <row r="2483" spans="18:18" ht="13.8">
      <c r="R2483" s="10">
        <v>2455</v>
      </c>
    </row>
    <row r="2484" spans="18:18" ht="13.8">
      <c r="R2484" s="10">
        <v>2456</v>
      </c>
    </row>
    <row r="2485" spans="18:18" ht="13.8">
      <c r="R2485" s="10">
        <v>2457</v>
      </c>
    </row>
    <row r="2486" spans="18:18" ht="13.8">
      <c r="R2486" s="10">
        <v>2458</v>
      </c>
    </row>
    <row r="2487" spans="18:18" ht="13.8">
      <c r="R2487" s="10">
        <v>2459</v>
      </c>
    </row>
    <row r="2488" spans="18:18" ht="13.8">
      <c r="R2488" s="10">
        <v>2460</v>
      </c>
    </row>
    <row r="2489" spans="18:18" ht="13.8">
      <c r="R2489" s="10">
        <v>2461</v>
      </c>
    </row>
    <row r="2490" spans="18:18" ht="13.8">
      <c r="R2490" s="10">
        <v>2462</v>
      </c>
    </row>
    <row r="2491" spans="18:18" ht="13.8">
      <c r="R2491" s="10">
        <v>2463</v>
      </c>
    </row>
    <row r="2492" spans="18:18" ht="13.8">
      <c r="R2492" s="10">
        <v>2464</v>
      </c>
    </row>
    <row r="2493" spans="18:18" ht="13.8">
      <c r="R2493" s="10">
        <v>2465</v>
      </c>
    </row>
    <row r="2494" spans="18:18" ht="13.8">
      <c r="R2494" s="10">
        <v>2466</v>
      </c>
    </row>
    <row r="2495" spans="18:18" ht="13.8">
      <c r="R2495" s="10">
        <v>2467</v>
      </c>
    </row>
    <row r="2496" spans="18:18" ht="13.8">
      <c r="R2496" s="10">
        <v>2468</v>
      </c>
    </row>
    <row r="2497" spans="18:18" ht="13.8">
      <c r="R2497" s="10">
        <v>2469</v>
      </c>
    </row>
    <row r="2498" spans="18:18" ht="13.8">
      <c r="R2498" s="10">
        <v>2470</v>
      </c>
    </row>
    <row r="2499" spans="18:18" ht="13.8">
      <c r="R2499" s="10">
        <v>2471</v>
      </c>
    </row>
    <row r="2500" spans="18:18" ht="13.8">
      <c r="R2500" s="10">
        <v>2472</v>
      </c>
    </row>
    <row r="2501" spans="18:18" ht="13.8">
      <c r="R2501" s="10">
        <v>2473</v>
      </c>
    </row>
    <row r="2502" spans="18:18" ht="13.8">
      <c r="R2502" s="10">
        <v>2474</v>
      </c>
    </row>
    <row r="2503" spans="18:18" ht="13.8">
      <c r="R2503" s="10">
        <v>2475</v>
      </c>
    </row>
    <row r="2504" spans="18:18" ht="13.8">
      <c r="R2504" s="10">
        <v>2476</v>
      </c>
    </row>
    <row r="2505" spans="18:18" ht="13.8">
      <c r="R2505" s="10">
        <v>2477</v>
      </c>
    </row>
    <row r="2506" spans="18:18" ht="13.8">
      <c r="R2506" s="10">
        <v>2478</v>
      </c>
    </row>
    <row r="2507" spans="18:18" ht="13.8">
      <c r="R2507" s="10">
        <v>2479</v>
      </c>
    </row>
    <row r="2508" spans="18:18" ht="13.8">
      <c r="R2508" s="10">
        <v>2480</v>
      </c>
    </row>
    <row r="2509" spans="18:18" ht="13.8">
      <c r="R2509" s="10">
        <v>2481</v>
      </c>
    </row>
    <row r="2510" spans="18:18" ht="13.8">
      <c r="R2510" s="10">
        <v>2482</v>
      </c>
    </row>
    <row r="2511" spans="18:18" ht="13.8">
      <c r="R2511" s="10">
        <v>2483</v>
      </c>
    </row>
    <row r="2512" spans="18:18" ht="13.8">
      <c r="R2512" s="10">
        <v>2484</v>
      </c>
    </row>
    <row r="2513" spans="18:18" ht="13.8">
      <c r="R2513" s="10">
        <v>2485</v>
      </c>
    </row>
    <row r="2514" spans="18:18" ht="13.8">
      <c r="R2514" s="10">
        <v>2486</v>
      </c>
    </row>
    <row r="2515" spans="18:18" ht="13.8">
      <c r="R2515" s="10">
        <v>2487</v>
      </c>
    </row>
    <row r="2516" spans="18:18" ht="13.8">
      <c r="R2516" s="10">
        <v>2488</v>
      </c>
    </row>
    <row r="2517" spans="18:18" ht="13.8">
      <c r="R2517" s="10">
        <v>2489</v>
      </c>
    </row>
    <row r="2518" spans="18:18" ht="13.8">
      <c r="R2518" s="10">
        <v>2490</v>
      </c>
    </row>
    <row r="2519" spans="18:18" ht="13.8">
      <c r="R2519" s="10">
        <v>2491</v>
      </c>
    </row>
    <row r="2520" spans="18:18" ht="13.8">
      <c r="R2520" s="10">
        <v>2492</v>
      </c>
    </row>
    <row r="2521" spans="18:18" ht="13.8">
      <c r="R2521" s="10">
        <v>2493</v>
      </c>
    </row>
    <row r="2522" spans="18:18" ht="13.8">
      <c r="R2522" s="10">
        <v>2494</v>
      </c>
    </row>
    <row r="2523" spans="18:18" ht="13.8">
      <c r="R2523" s="10">
        <v>2495</v>
      </c>
    </row>
    <row r="2524" spans="18:18" ht="13.8">
      <c r="R2524" s="10">
        <v>2496</v>
      </c>
    </row>
    <row r="2525" spans="18:18" ht="13.8">
      <c r="R2525" s="10">
        <v>2497</v>
      </c>
    </row>
    <row r="2526" spans="18:18" ht="13.8">
      <c r="R2526" s="10">
        <v>2498</v>
      </c>
    </row>
    <row r="2527" spans="18:18" ht="13.8">
      <c r="R2527" s="10">
        <v>2499</v>
      </c>
    </row>
    <row r="2528" spans="18:18" ht="13.8">
      <c r="R2528" s="10">
        <v>2500</v>
      </c>
    </row>
    <row r="2529" spans="18:18" ht="13.8">
      <c r="R2529" s="10">
        <v>2501</v>
      </c>
    </row>
    <row r="2530" spans="18:18" ht="13.8">
      <c r="R2530" s="10">
        <v>2502</v>
      </c>
    </row>
    <row r="2531" spans="18:18" ht="13.8">
      <c r="R2531" s="10">
        <v>2503</v>
      </c>
    </row>
    <row r="2532" spans="18:18" ht="13.8">
      <c r="R2532" s="10">
        <v>2504</v>
      </c>
    </row>
    <row r="2533" spans="18:18" ht="13.8">
      <c r="R2533" s="10">
        <v>2505</v>
      </c>
    </row>
    <row r="2534" spans="18:18" ht="13.8">
      <c r="R2534" s="10">
        <v>2506</v>
      </c>
    </row>
    <row r="2535" spans="18:18" ht="13.8">
      <c r="R2535" s="10">
        <v>2507</v>
      </c>
    </row>
    <row r="2536" spans="18:18" ht="13.8">
      <c r="R2536" s="10">
        <v>2508</v>
      </c>
    </row>
    <row r="2537" spans="18:18" ht="13.8">
      <c r="R2537" s="10">
        <v>2509</v>
      </c>
    </row>
    <row r="2538" spans="18:18" ht="13.8">
      <c r="R2538" s="10">
        <v>2510</v>
      </c>
    </row>
    <row r="2539" spans="18:18" ht="13.8">
      <c r="R2539" s="10">
        <v>2511</v>
      </c>
    </row>
    <row r="2540" spans="18:18" ht="13.8">
      <c r="R2540" s="10">
        <v>2512</v>
      </c>
    </row>
    <row r="2541" spans="18:18" ht="13.8">
      <c r="R2541" s="10">
        <v>2513</v>
      </c>
    </row>
    <row r="2542" spans="18:18" ht="13.8">
      <c r="R2542" s="10">
        <v>2514</v>
      </c>
    </row>
    <row r="2543" spans="18:18" ht="13.8">
      <c r="R2543" s="10">
        <v>2515</v>
      </c>
    </row>
    <row r="2544" spans="18:18" ht="13.8">
      <c r="R2544" s="10">
        <v>2516</v>
      </c>
    </row>
    <row r="2545" spans="18:18" ht="13.8">
      <c r="R2545" s="10">
        <v>2517</v>
      </c>
    </row>
    <row r="2546" spans="18:18" ht="13.8">
      <c r="R2546" s="10">
        <v>2518</v>
      </c>
    </row>
    <row r="2547" spans="18:18" ht="13.8">
      <c r="R2547" s="10">
        <v>2519</v>
      </c>
    </row>
    <row r="2548" spans="18:18" ht="13.8">
      <c r="R2548" s="10">
        <v>2520</v>
      </c>
    </row>
    <row r="2549" spans="18:18" ht="13.8">
      <c r="R2549" s="10">
        <v>2521</v>
      </c>
    </row>
    <row r="2550" spans="18:18" ht="13.8">
      <c r="R2550" s="10">
        <v>2522</v>
      </c>
    </row>
    <row r="2551" spans="18:18" ht="13.8">
      <c r="R2551" s="10">
        <v>2523</v>
      </c>
    </row>
    <row r="2552" spans="18:18" ht="13.8">
      <c r="R2552" s="10">
        <v>2524</v>
      </c>
    </row>
    <row r="2553" spans="18:18" ht="13.8">
      <c r="R2553" s="10">
        <v>2525</v>
      </c>
    </row>
    <row r="2554" spans="18:18" ht="13.8">
      <c r="R2554" s="10">
        <v>2526</v>
      </c>
    </row>
    <row r="2555" spans="18:18" ht="13.8">
      <c r="R2555" s="10">
        <v>2527</v>
      </c>
    </row>
    <row r="2556" spans="18:18" ht="13.8">
      <c r="R2556" s="10">
        <v>2528</v>
      </c>
    </row>
    <row r="2557" spans="18:18" ht="13.8">
      <c r="R2557" s="10">
        <v>2529</v>
      </c>
    </row>
    <row r="2558" spans="18:18" ht="13.8">
      <c r="R2558" s="10">
        <v>2530</v>
      </c>
    </row>
    <row r="2559" spans="18:18" ht="13.8">
      <c r="R2559" s="10">
        <v>2531</v>
      </c>
    </row>
    <row r="2560" spans="18:18" ht="13.8">
      <c r="R2560" s="10">
        <v>2532</v>
      </c>
    </row>
    <row r="2561" spans="18:18" ht="13.8">
      <c r="R2561" s="10">
        <v>2533</v>
      </c>
    </row>
    <row r="2562" spans="18:18" ht="13.8">
      <c r="R2562" s="10">
        <v>2534</v>
      </c>
    </row>
    <row r="2563" spans="18:18" ht="13.8">
      <c r="R2563" s="10">
        <v>2535</v>
      </c>
    </row>
    <row r="2564" spans="18:18" ht="13.8">
      <c r="R2564" s="10">
        <v>2536</v>
      </c>
    </row>
    <row r="2565" spans="18:18" ht="13.8">
      <c r="R2565" s="10">
        <v>2537</v>
      </c>
    </row>
    <row r="2566" spans="18:18" ht="13.8">
      <c r="R2566" s="10">
        <v>2538</v>
      </c>
    </row>
    <row r="2567" spans="18:18" ht="13.8">
      <c r="R2567" s="10">
        <v>2539</v>
      </c>
    </row>
    <row r="2568" spans="18:18" ht="13.8">
      <c r="R2568" s="10">
        <v>2540</v>
      </c>
    </row>
    <row r="2569" spans="18:18" ht="13.8">
      <c r="R2569" s="10">
        <v>2541</v>
      </c>
    </row>
    <row r="2570" spans="18:18" ht="13.8">
      <c r="R2570" s="10">
        <v>2542</v>
      </c>
    </row>
    <row r="2571" spans="18:18" ht="13.8">
      <c r="R2571" s="10">
        <v>2543</v>
      </c>
    </row>
    <row r="2572" spans="18:18" ht="13.8">
      <c r="R2572" s="10">
        <v>2544</v>
      </c>
    </row>
    <row r="2573" spans="18:18" ht="13.8">
      <c r="R2573" s="10">
        <v>2545</v>
      </c>
    </row>
    <row r="2574" spans="18:18" ht="13.8">
      <c r="R2574" s="10">
        <v>2546</v>
      </c>
    </row>
    <row r="2575" spans="18:18" ht="13.8">
      <c r="R2575" s="10">
        <v>2547</v>
      </c>
    </row>
    <row r="2576" spans="18:18" ht="13.8">
      <c r="R2576" s="10">
        <v>2548</v>
      </c>
    </row>
    <row r="2577" spans="18:18" ht="13.8">
      <c r="R2577" s="10">
        <v>2549</v>
      </c>
    </row>
    <row r="2578" spans="18:18" ht="13.8">
      <c r="R2578" s="10">
        <v>2550</v>
      </c>
    </row>
    <row r="2579" spans="18:18" ht="13.8">
      <c r="R2579" s="10">
        <v>2551</v>
      </c>
    </row>
    <row r="2580" spans="18:18" ht="13.8">
      <c r="R2580" s="10">
        <v>2552</v>
      </c>
    </row>
    <row r="2581" spans="18:18" ht="13.8">
      <c r="R2581" s="10">
        <v>2553</v>
      </c>
    </row>
    <row r="2582" spans="18:18" ht="13.8">
      <c r="R2582" s="10">
        <v>2554</v>
      </c>
    </row>
    <row r="2583" spans="18:18" ht="13.8">
      <c r="R2583" s="10">
        <v>2555</v>
      </c>
    </row>
    <row r="2584" spans="18:18" ht="13.8">
      <c r="R2584" s="10">
        <v>2556</v>
      </c>
    </row>
    <row r="2585" spans="18:18" ht="13.8">
      <c r="R2585" s="10">
        <v>2557</v>
      </c>
    </row>
    <row r="2586" spans="18:18" ht="13.8">
      <c r="R2586" s="10">
        <v>2558</v>
      </c>
    </row>
    <row r="2587" spans="18:18" ht="13.8">
      <c r="R2587" s="10">
        <v>2559</v>
      </c>
    </row>
    <row r="2588" spans="18:18" ht="13.8">
      <c r="R2588" s="10">
        <v>2560</v>
      </c>
    </row>
    <row r="2589" spans="18:18" ht="13.8">
      <c r="R2589" s="10">
        <v>2561</v>
      </c>
    </row>
    <row r="2590" spans="18:18" ht="13.8">
      <c r="R2590" s="10">
        <v>2562</v>
      </c>
    </row>
    <row r="2591" spans="18:18" ht="13.8">
      <c r="R2591" s="10">
        <v>2563</v>
      </c>
    </row>
    <row r="2592" spans="18:18" ht="13.8">
      <c r="R2592" s="10">
        <v>2564</v>
      </c>
    </row>
    <row r="2593" spans="18:18" ht="13.8">
      <c r="R2593" s="10">
        <v>2565</v>
      </c>
    </row>
    <row r="2594" spans="18:18" ht="13.8">
      <c r="R2594" s="10">
        <v>2566</v>
      </c>
    </row>
    <row r="2595" spans="18:18" ht="13.8">
      <c r="R2595" s="10">
        <v>2567</v>
      </c>
    </row>
    <row r="2596" spans="18:18" ht="13.8">
      <c r="R2596" s="10">
        <v>2568</v>
      </c>
    </row>
    <row r="2597" spans="18:18" ht="13.8">
      <c r="R2597" s="10">
        <v>2569</v>
      </c>
    </row>
    <row r="2598" spans="18:18" ht="13.8">
      <c r="R2598" s="10">
        <v>2570</v>
      </c>
    </row>
    <row r="2599" spans="18:18" ht="13.8">
      <c r="R2599" s="10">
        <v>2571</v>
      </c>
    </row>
    <row r="2600" spans="18:18" ht="13.8">
      <c r="R2600" s="10">
        <v>2572</v>
      </c>
    </row>
    <row r="2601" spans="18:18" ht="13.8">
      <c r="R2601" s="10">
        <v>2573</v>
      </c>
    </row>
    <row r="2602" spans="18:18" ht="13.8">
      <c r="R2602" s="10">
        <v>2574</v>
      </c>
    </row>
    <row r="2603" spans="18:18" ht="13.8">
      <c r="R2603" s="10">
        <v>2575</v>
      </c>
    </row>
    <row r="2604" spans="18:18" ht="13.8">
      <c r="R2604" s="10">
        <v>2576</v>
      </c>
    </row>
    <row r="2605" spans="18:18" ht="13.8">
      <c r="R2605" s="10">
        <v>2577</v>
      </c>
    </row>
    <row r="2606" spans="18:18" ht="13.8">
      <c r="R2606" s="10">
        <v>2578</v>
      </c>
    </row>
    <row r="2607" spans="18:18" ht="13.8">
      <c r="R2607" s="10">
        <v>2579</v>
      </c>
    </row>
    <row r="2608" spans="18:18" ht="13.8">
      <c r="R2608" s="10">
        <v>2580</v>
      </c>
    </row>
    <row r="2609" spans="18:18" ht="13.8">
      <c r="R2609" s="10">
        <v>2581</v>
      </c>
    </row>
    <row r="2610" spans="18:18" ht="13.8">
      <c r="R2610" s="10">
        <v>2582</v>
      </c>
    </row>
    <row r="2611" spans="18:18" ht="13.8">
      <c r="R2611" s="10">
        <v>2583</v>
      </c>
    </row>
    <row r="2612" spans="18:18" ht="13.8">
      <c r="R2612" s="10">
        <v>2584</v>
      </c>
    </row>
    <row r="2613" spans="18:18" ht="13.8">
      <c r="R2613" s="10">
        <v>2585</v>
      </c>
    </row>
    <row r="2614" spans="18:18" ht="13.8">
      <c r="R2614" s="10">
        <v>2586</v>
      </c>
    </row>
    <row r="2615" spans="18:18" ht="13.8">
      <c r="R2615" s="10">
        <v>2587</v>
      </c>
    </row>
    <row r="2616" spans="18:18" ht="13.8">
      <c r="R2616" s="10">
        <v>2588</v>
      </c>
    </row>
    <row r="2617" spans="18:18" ht="13.8">
      <c r="R2617" s="10">
        <v>2589</v>
      </c>
    </row>
    <row r="2618" spans="18:18" ht="13.8">
      <c r="R2618" s="10">
        <v>2590</v>
      </c>
    </row>
    <row r="2619" spans="18:18" ht="13.8">
      <c r="R2619" s="10">
        <v>2591</v>
      </c>
    </row>
    <row r="2620" spans="18:18" ht="13.8">
      <c r="R2620" s="10">
        <v>2592</v>
      </c>
    </row>
    <row r="2621" spans="18:18" ht="13.8">
      <c r="R2621" s="10">
        <v>2593</v>
      </c>
    </row>
    <row r="2622" spans="18:18" ht="13.8">
      <c r="R2622" s="10">
        <v>2594</v>
      </c>
    </row>
    <row r="2623" spans="18:18" ht="13.8">
      <c r="R2623" s="10">
        <v>2595</v>
      </c>
    </row>
    <row r="2624" spans="18:18" ht="13.8">
      <c r="R2624" s="10">
        <v>2596</v>
      </c>
    </row>
    <row r="2625" spans="18:18" ht="13.8">
      <c r="R2625" s="10">
        <v>2597</v>
      </c>
    </row>
    <row r="2626" spans="18:18" ht="13.8">
      <c r="R2626" s="10">
        <v>2598</v>
      </c>
    </row>
    <row r="2627" spans="18:18" ht="13.8">
      <c r="R2627" s="10">
        <v>2599</v>
      </c>
    </row>
    <row r="2628" spans="18:18" ht="13.8">
      <c r="R2628" s="10">
        <v>2600</v>
      </c>
    </row>
    <row r="2629" spans="18:18" ht="13.8">
      <c r="R2629" s="10">
        <v>2601</v>
      </c>
    </row>
    <row r="2630" spans="18:18" ht="13.8">
      <c r="R2630" s="10">
        <v>2602</v>
      </c>
    </row>
    <row r="2631" spans="18:18" ht="13.8">
      <c r="R2631" s="10">
        <v>2603</v>
      </c>
    </row>
    <row r="2632" spans="18:18" ht="13.8">
      <c r="R2632" s="10">
        <v>2604</v>
      </c>
    </row>
    <row r="2633" spans="18:18" ht="13.8">
      <c r="R2633" s="10">
        <v>2605</v>
      </c>
    </row>
    <row r="2634" spans="18:18" ht="13.8">
      <c r="R2634" s="10">
        <v>2606</v>
      </c>
    </row>
    <row r="2635" spans="18:18" ht="13.8">
      <c r="R2635" s="10">
        <v>2607</v>
      </c>
    </row>
    <row r="2636" spans="18:18" ht="13.8">
      <c r="R2636" s="10">
        <v>2608</v>
      </c>
    </row>
    <row r="2637" spans="18:18" ht="13.8">
      <c r="R2637" s="10">
        <v>2609</v>
      </c>
    </row>
    <row r="2638" spans="18:18" ht="13.8">
      <c r="R2638" s="10">
        <v>2610</v>
      </c>
    </row>
    <row r="2639" spans="18:18" ht="13.8">
      <c r="R2639" s="10">
        <v>2611</v>
      </c>
    </row>
    <row r="2640" spans="18:18" ht="13.8">
      <c r="R2640" s="10">
        <v>2612</v>
      </c>
    </row>
    <row r="2641" spans="18:18" ht="13.8">
      <c r="R2641" s="10">
        <v>2613</v>
      </c>
    </row>
    <row r="2642" spans="18:18" ht="13.8">
      <c r="R2642" s="10">
        <v>2614</v>
      </c>
    </row>
    <row r="2643" spans="18:18" ht="13.8">
      <c r="R2643" s="10">
        <v>2615</v>
      </c>
    </row>
    <row r="2644" spans="18:18" ht="13.8">
      <c r="R2644" s="10">
        <v>2616</v>
      </c>
    </row>
    <row r="2645" spans="18:18" ht="13.8">
      <c r="R2645" s="10">
        <v>2617</v>
      </c>
    </row>
    <row r="2646" spans="18:18" ht="13.8">
      <c r="R2646" s="10">
        <v>2618</v>
      </c>
    </row>
    <row r="2647" spans="18:18" ht="13.8">
      <c r="R2647" s="10">
        <v>2619</v>
      </c>
    </row>
    <row r="2648" spans="18:18" ht="13.8">
      <c r="R2648" s="10">
        <v>2620</v>
      </c>
    </row>
    <row r="2649" spans="18:18" ht="13.8">
      <c r="R2649" s="10">
        <v>2621</v>
      </c>
    </row>
    <row r="2650" spans="18:18" ht="13.8">
      <c r="R2650" s="10">
        <v>2622</v>
      </c>
    </row>
    <row r="2651" spans="18:18" ht="13.8">
      <c r="R2651" s="10">
        <v>2623</v>
      </c>
    </row>
    <row r="2652" spans="18:18" ht="13.8">
      <c r="R2652" s="10">
        <v>2624</v>
      </c>
    </row>
    <row r="2653" spans="18:18" ht="13.8">
      <c r="R2653" s="10">
        <v>2625</v>
      </c>
    </row>
    <row r="2654" spans="18:18" ht="13.8">
      <c r="R2654" s="10">
        <v>2626</v>
      </c>
    </row>
    <row r="2655" spans="18:18" ht="13.8">
      <c r="R2655" s="10">
        <v>2627</v>
      </c>
    </row>
    <row r="2656" spans="18:18" ht="13.8">
      <c r="R2656" s="10">
        <v>2628</v>
      </c>
    </row>
    <row r="2657" spans="18:18" ht="13.8">
      <c r="R2657" s="10">
        <v>2629</v>
      </c>
    </row>
    <row r="2658" spans="18:18" ht="13.8">
      <c r="R2658" s="10">
        <v>2630</v>
      </c>
    </row>
    <row r="2659" spans="18:18" ht="13.8">
      <c r="R2659" s="10">
        <v>2631</v>
      </c>
    </row>
    <row r="2660" spans="18:18" ht="13.8">
      <c r="R2660" s="10">
        <v>2632</v>
      </c>
    </row>
    <row r="2661" spans="18:18" ht="13.8">
      <c r="R2661" s="10">
        <v>2633</v>
      </c>
    </row>
    <row r="2662" spans="18:18" ht="13.8">
      <c r="R2662" s="10">
        <v>2634</v>
      </c>
    </row>
    <row r="2663" spans="18:18" ht="13.8">
      <c r="R2663" s="10">
        <v>2635</v>
      </c>
    </row>
    <row r="2664" spans="18:18" ht="13.8">
      <c r="R2664" s="10">
        <v>2636</v>
      </c>
    </row>
    <row r="2665" spans="18:18" ht="13.8">
      <c r="R2665" s="10">
        <v>2637</v>
      </c>
    </row>
    <row r="2666" spans="18:18" ht="13.8">
      <c r="R2666" s="10">
        <v>2638</v>
      </c>
    </row>
    <row r="2667" spans="18:18" ht="13.8">
      <c r="R2667" s="10">
        <v>2639</v>
      </c>
    </row>
    <row r="2668" spans="18:18" ht="13.8">
      <c r="R2668" s="10">
        <v>2640</v>
      </c>
    </row>
    <row r="2669" spans="18:18" ht="13.8">
      <c r="R2669" s="10">
        <v>2641</v>
      </c>
    </row>
    <row r="2670" spans="18:18" ht="13.8">
      <c r="R2670" s="10">
        <v>2642</v>
      </c>
    </row>
    <row r="2671" spans="18:18" ht="13.8">
      <c r="R2671" s="10">
        <v>2643</v>
      </c>
    </row>
    <row r="2672" spans="18:18" ht="13.8">
      <c r="R2672" s="10">
        <v>2644</v>
      </c>
    </row>
    <row r="2673" spans="18:18" ht="13.8">
      <c r="R2673" s="10">
        <v>2645</v>
      </c>
    </row>
    <row r="2674" spans="18:18" ht="13.8">
      <c r="R2674" s="10">
        <v>2646</v>
      </c>
    </row>
    <row r="2675" spans="18:18" ht="13.8">
      <c r="R2675" s="10">
        <v>2647</v>
      </c>
    </row>
    <row r="2676" spans="18:18" ht="13.8">
      <c r="R2676" s="10">
        <v>2648</v>
      </c>
    </row>
    <row r="2677" spans="18:18" ht="13.8">
      <c r="R2677" s="10">
        <v>2649</v>
      </c>
    </row>
    <row r="2678" spans="18:18" ht="13.8">
      <c r="R2678" s="10">
        <v>2650</v>
      </c>
    </row>
    <row r="2679" spans="18:18" ht="13.8">
      <c r="R2679" s="10">
        <v>2651</v>
      </c>
    </row>
    <row r="2680" spans="18:18" ht="13.8">
      <c r="R2680" s="10">
        <v>2652</v>
      </c>
    </row>
    <row r="2681" spans="18:18" ht="13.8">
      <c r="R2681" s="10">
        <v>2653</v>
      </c>
    </row>
    <row r="2682" spans="18:18" ht="13.8">
      <c r="R2682" s="10">
        <v>2654</v>
      </c>
    </row>
    <row r="2683" spans="18:18" ht="13.8">
      <c r="R2683" s="10">
        <v>2655</v>
      </c>
    </row>
    <row r="2684" spans="18:18" ht="13.8">
      <c r="R2684" s="10">
        <v>2656</v>
      </c>
    </row>
    <row r="2685" spans="18:18" ht="13.8">
      <c r="R2685" s="10">
        <v>2657</v>
      </c>
    </row>
    <row r="2686" spans="18:18" ht="13.8">
      <c r="R2686" s="10">
        <v>2658</v>
      </c>
    </row>
    <row r="2687" spans="18:18" ht="13.8">
      <c r="R2687" s="10">
        <v>2659</v>
      </c>
    </row>
    <row r="2688" spans="18:18" ht="13.8">
      <c r="R2688" s="10">
        <v>2660</v>
      </c>
    </row>
    <row r="2689" spans="18:18" ht="13.8">
      <c r="R2689" s="10">
        <v>2661</v>
      </c>
    </row>
    <row r="2690" spans="18:18" ht="13.8">
      <c r="R2690" s="10">
        <v>2662</v>
      </c>
    </row>
    <row r="2691" spans="18:18" ht="13.8">
      <c r="R2691" s="10">
        <v>2663</v>
      </c>
    </row>
    <row r="2692" spans="18:18" ht="13.8">
      <c r="R2692" s="10">
        <v>2664</v>
      </c>
    </row>
    <row r="2693" spans="18:18" ht="13.8">
      <c r="R2693" s="10">
        <v>2665</v>
      </c>
    </row>
    <row r="2694" spans="18:18" ht="13.8">
      <c r="R2694" s="10">
        <v>2666</v>
      </c>
    </row>
    <row r="2695" spans="18:18" ht="13.8">
      <c r="R2695" s="10">
        <v>2667</v>
      </c>
    </row>
    <row r="2696" spans="18:18" ht="13.8">
      <c r="R2696" s="10">
        <v>2668</v>
      </c>
    </row>
    <row r="2697" spans="18:18" ht="13.8">
      <c r="R2697" s="10">
        <v>2669</v>
      </c>
    </row>
    <row r="2698" spans="18:18" ht="13.8">
      <c r="R2698" s="10">
        <v>2670</v>
      </c>
    </row>
    <row r="2699" spans="18:18" ht="13.8">
      <c r="R2699" s="10">
        <v>2671</v>
      </c>
    </row>
    <row r="2700" spans="18:18" ht="13.8">
      <c r="R2700" s="10">
        <v>2672</v>
      </c>
    </row>
    <row r="2701" spans="18:18" ht="13.8">
      <c r="R2701" s="10">
        <v>2673</v>
      </c>
    </row>
    <row r="2702" spans="18:18" ht="13.8">
      <c r="R2702" s="10">
        <v>2674</v>
      </c>
    </row>
    <row r="2703" spans="18:18" ht="13.8">
      <c r="R2703" s="10">
        <v>2675</v>
      </c>
    </row>
    <row r="2704" spans="18:18" ht="13.8">
      <c r="R2704" s="10">
        <v>2676</v>
      </c>
    </row>
    <row r="2705" spans="18:18" ht="13.8">
      <c r="R2705" s="10">
        <v>2677</v>
      </c>
    </row>
    <row r="2706" spans="18:18" ht="13.8">
      <c r="R2706" s="10">
        <v>2678</v>
      </c>
    </row>
    <row r="2707" spans="18:18" ht="13.8">
      <c r="R2707" s="10">
        <v>2679</v>
      </c>
    </row>
    <row r="2708" spans="18:18" ht="13.8">
      <c r="R2708" s="10">
        <v>2680</v>
      </c>
    </row>
    <row r="2709" spans="18:18" ht="13.8">
      <c r="R2709" s="10">
        <v>2681</v>
      </c>
    </row>
    <row r="2710" spans="18:18" ht="13.8">
      <c r="R2710" s="10">
        <v>2682</v>
      </c>
    </row>
    <row r="2711" spans="18:18" ht="13.8">
      <c r="R2711" s="10">
        <v>2683</v>
      </c>
    </row>
    <row r="2712" spans="18:18" ht="13.8">
      <c r="R2712" s="10">
        <v>2684</v>
      </c>
    </row>
    <row r="2713" spans="18:18" ht="13.8">
      <c r="R2713" s="10">
        <v>2685</v>
      </c>
    </row>
    <row r="2714" spans="18:18" ht="13.8">
      <c r="R2714" s="10">
        <v>2686</v>
      </c>
    </row>
    <row r="2715" spans="18:18" ht="13.8">
      <c r="R2715" s="10">
        <v>2687</v>
      </c>
    </row>
    <row r="2716" spans="18:18" ht="13.8">
      <c r="R2716" s="10">
        <v>2688</v>
      </c>
    </row>
    <row r="2717" spans="18:18" ht="13.8">
      <c r="R2717" s="10">
        <v>2689</v>
      </c>
    </row>
    <row r="2718" spans="18:18" ht="13.8">
      <c r="R2718" s="10">
        <v>2690</v>
      </c>
    </row>
    <row r="2719" spans="18:18" ht="13.8">
      <c r="R2719" s="10">
        <v>2691</v>
      </c>
    </row>
    <row r="2720" spans="18:18" ht="13.8">
      <c r="R2720" s="10">
        <v>2692</v>
      </c>
    </row>
    <row r="2721" spans="18:18" ht="13.8">
      <c r="R2721" s="10">
        <v>2693</v>
      </c>
    </row>
    <row r="2722" spans="18:18" ht="13.8">
      <c r="R2722" s="10">
        <v>2694</v>
      </c>
    </row>
    <row r="2723" spans="18:18" ht="13.8">
      <c r="R2723" s="10">
        <v>2695</v>
      </c>
    </row>
    <row r="2724" spans="18:18" ht="13.8">
      <c r="R2724" s="10">
        <v>2696</v>
      </c>
    </row>
    <row r="2725" spans="18:18" ht="13.8">
      <c r="R2725" s="10">
        <v>2697</v>
      </c>
    </row>
    <row r="2726" spans="18:18" ht="13.8">
      <c r="R2726" s="10">
        <v>2698</v>
      </c>
    </row>
    <row r="2727" spans="18:18" ht="13.8">
      <c r="R2727" s="10">
        <v>2699</v>
      </c>
    </row>
    <row r="2728" spans="18:18" ht="13.8">
      <c r="R2728" s="10">
        <v>2700</v>
      </c>
    </row>
    <row r="2729" spans="18:18" ht="13.8">
      <c r="R2729" s="10">
        <v>2701</v>
      </c>
    </row>
    <row r="2730" spans="18:18" ht="13.8">
      <c r="R2730" s="10">
        <v>2702</v>
      </c>
    </row>
    <row r="2731" spans="18:18" ht="13.8">
      <c r="R2731" s="10">
        <v>2703</v>
      </c>
    </row>
    <row r="2732" spans="18:18" ht="13.8">
      <c r="R2732" s="10">
        <v>2704</v>
      </c>
    </row>
    <row r="2733" spans="18:18" ht="13.8">
      <c r="R2733" s="10">
        <v>2705</v>
      </c>
    </row>
    <row r="2734" spans="18:18" ht="13.8">
      <c r="R2734" s="10">
        <v>2706</v>
      </c>
    </row>
    <row r="2735" spans="18:18" ht="13.8">
      <c r="R2735" s="10">
        <v>2707</v>
      </c>
    </row>
    <row r="2736" spans="18:18" ht="13.8">
      <c r="R2736" s="10">
        <v>2708</v>
      </c>
    </row>
    <row r="2737" spans="18:18" ht="13.8">
      <c r="R2737" s="10">
        <v>2709</v>
      </c>
    </row>
    <row r="2738" spans="18:18" ht="13.8">
      <c r="R2738" s="10">
        <v>2710</v>
      </c>
    </row>
    <row r="2739" spans="18:18" ht="13.8">
      <c r="R2739" s="10">
        <v>2711</v>
      </c>
    </row>
    <row r="2740" spans="18:18" ht="13.8">
      <c r="R2740" s="10">
        <v>2712</v>
      </c>
    </row>
    <row r="2741" spans="18:18" ht="13.8">
      <c r="R2741" s="10">
        <v>2713</v>
      </c>
    </row>
    <row r="2742" spans="18:18" ht="13.8">
      <c r="R2742" s="10">
        <v>2714</v>
      </c>
    </row>
    <row r="2743" spans="18:18" ht="13.8">
      <c r="R2743" s="10">
        <v>2715</v>
      </c>
    </row>
    <row r="2744" spans="18:18" ht="13.8">
      <c r="R2744" s="10">
        <v>2716</v>
      </c>
    </row>
    <row r="2745" spans="18:18" ht="13.8">
      <c r="R2745" s="10">
        <v>2717</v>
      </c>
    </row>
    <row r="2746" spans="18:18" ht="13.8">
      <c r="R2746" s="10">
        <v>2718</v>
      </c>
    </row>
    <row r="2747" spans="18:18" ht="13.8">
      <c r="R2747" s="10">
        <v>2719</v>
      </c>
    </row>
    <row r="2748" spans="18:18" ht="13.8">
      <c r="R2748" s="10">
        <v>2720</v>
      </c>
    </row>
    <row r="2749" spans="18:18" ht="13.8">
      <c r="R2749" s="10">
        <v>2721</v>
      </c>
    </row>
    <row r="2750" spans="18:18" ht="13.8">
      <c r="R2750" s="10">
        <v>2722</v>
      </c>
    </row>
    <row r="2751" spans="18:18" ht="13.8">
      <c r="R2751" s="10">
        <v>2723</v>
      </c>
    </row>
    <row r="2752" spans="18:18" ht="13.8">
      <c r="R2752" s="10">
        <v>2724</v>
      </c>
    </row>
    <row r="2753" spans="18:18" ht="13.8">
      <c r="R2753" s="10">
        <v>2725</v>
      </c>
    </row>
    <row r="2754" spans="18:18" ht="13.8">
      <c r="R2754" s="10">
        <v>2726</v>
      </c>
    </row>
    <row r="2755" spans="18:18" ht="13.8">
      <c r="R2755" s="10">
        <v>2727</v>
      </c>
    </row>
    <row r="2756" spans="18:18" ht="13.8">
      <c r="R2756" s="10">
        <v>2728</v>
      </c>
    </row>
    <row r="2757" spans="18:18" ht="13.8">
      <c r="R2757" s="10">
        <v>2729</v>
      </c>
    </row>
    <row r="2758" spans="18:18" ht="13.8">
      <c r="R2758" s="10">
        <v>2730</v>
      </c>
    </row>
    <row r="2759" spans="18:18" ht="13.8">
      <c r="R2759" s="10">
        <v>2731</v>
      </c>
    </row>
    <row r="2760" spans="18:18" ht="13.8">
      <c r="R2760" s="10">
        <v>2732</v>
      </c>
    </row>
    <row r="2761" spans="18:18" ht="13.8">
      <c r="R2761" s="10">
        <v>2733</v>
      </c>
    </row>
    <row r="2762" spans="18:18" ht="13.8">
      <c r="R2762" s="10">
        <v>2734</v>
      </c>
    </row>
    <row r="2763" spans="18:18" ht="13.8">
      <c r="R2763" s="10">
        <v>2735</v>
      </c>
    </row>
    <row r="2764" spans="18:18" ht="13.8">
      <c r="R2764" s="10">
        <v>2736</v>
      </c>
    </row>
    <row r="2765" spans="18:18" ht="13.8">
      <c r="R2765" s="10">
        <v>2737</v>
      </c>
    </row>
    <row r="2766" spans="18:18" ht="13.8">
      <c r="R2766" s="10">
        <v>2738</v>
      </c>
    </row>
    <row r="2767" spans="18:18" ht="13.8">
      <c r="R2767" s="10">
        <v>2739</v>
      </c>
    </row>
    <row r="2768" spans="18:18" ht="13.8">
      <c r="R2768" s="10">
        <v>2740</v>
      </c>
    </row>
    <row r="2769" spans="18:18" ht="13.8">
      <c r="R2769" s="10">
        <v>2741</v>
      </c>
    </row>
    <row r="2770" spans="18:18" ht="13.8">
      <c r="R2770" s="10">
        <v>2742</v>
      </c>
    </row>
    <row r="2771" spans="18:18" ht="13.8">
      <c r="R2771" s="10">
        <v>2743</v>
      </c>
    </row>
    <row r="2772" spans="18:18" ht="13.8">
      <c r="R2772" s="10">
        <v>2744</v>
      </c>
    </row>
    <row r="2773" spans="18:18" ht="13.8">
      <c r="R2773" s="10">
        <v>2745</v>
      </c>
    </row>
    <row r="2774" spans="18:18" ht="13.8">
      <c r="R2774" s="10">
        <v>2746</v>
      </c>
    </row>
    <row r="2775" spans="18:18" ht="13.8">
      <c r="R2775" s="10">
        <v>2747</v>
      </c>
    </row>
    <row r="2776" spans="18:18" ht="13.8">
      <c r="R2776" s="10">
        <v>2748</v>
      </c>
    </row>
    <row r="2777" spans="18:18" ht="13.8">
      <c r="R2777" s="10">
        <v>2749</v>
      </c>
    </row>
    <row r="2778" spans="18:18" ht="13.8">
      <c r="R2778" s="10">
        <v>2750</v>
      </c>
    </row>
    <row r="2779" spans="18:18" ht="13.8">
      <c r="R2779" s="10">
        <v>2751</v>
      </c>
    </row>
    <row r="2780" spans="18:18" ht="13.8">
      <c r="R2780" s="10">
        <v>2752</v>
      </c>
    </row>
    <row r="2781" spans="18:18" ht="13.8">
      <c r="R2781" s="10">
        <v>2753</v>
      </c>
    </row>
    <row r="2782" spans="18:18" ht="13.8">
      <c r="R2782" s="10">
        <v>2754</v>
      </c>
    </row>
    <row r="2783" spans="18:18" ht="13.8">
      <c r="R2783" s="10">
        <v>2755</v>
      </c>
    </row>
    <row r="2784" spans="18:18" ht="13.8">
      <c r="R2784" s="10">
        <v>2756</v>
      </c>
    </row>
    <row r="2785" spans="18:18" ht="13.8">
      <c r="R2785" s="10">
        <v>2757</v>
      </c>
    </row>
    <row r="2786" spans="18:18" ht="13.8">
      <c r="R2786" s="10">
        <v>2758</v>
      </c>
    </row>
    <row r="2787" spans="18:18" ht="13.8">
      <c r="R2787" s="10">
        <v>2759</v>
      </c>
    </row>
    <row r="2788" spans="18:18" ht="13.8">
      <c r="R2788" s="10">
        <v>2760</v>
      </c>
    </row>
    <row r="2789" spans="18:18" ht="13.8">
      <c r="R2789" s="10">
        <v>2761</v>
      </c>
    </row>
    <row r="2790" spans="18:18" ht="13.8">
      <c r="R2790" s="10">
        <v>2762</v>
      </c>
    </row>
    <row r="2791" spans="18:18" ht="13.8">
      <c r="R2791" s="10">
        <v>2763</v>
      </c>
    </row>
    <row r="2792" spans="18:18" ht="13.8">
      <c r="R2792" s="10">
        <v>2764</v>
      </c>
    </row>
    <row r="2793" spans="18:18" ht="13.8">
      <c r="R2793" s="10">
        <v>2765</v>
      </c>
    </row>
    <row r="2794" spans="18:18" ht="13.8">
      <c r="R2794" s="10">
        <v>2766</v>
      </c>
    </row>
    <row r="2795" spans="18:18" ht="13.8">
      <c r="R2795" s="10">
        <v>2767</v>
      </c>
    </row>
    <row r="2796" spans="18:18" ht="13.8">
      <c r="R2796" s="10">
        <v>2768</v>
      </c>
    </row>
    <row r="2797" spans="18:18" ht="13.8">
      <c r="R2797" s="10">
        <v>2769</v>
      </c>
    </row>
    <row r="2798" spans="18:18" ht="13.8">
      <c r="R2798" s="10">
        <v>2770</v>
      </c>
    </row>
    <row r="2799" spans="18:18" ht="13.8">
      <c r="R2799" s="10">
        <v>2771</v>
      </c>
    </row>
    <row r="2800" spans="18:18" ht="13.8">
      <c r="R2800" s="10">
        <v>2772</v>
      </c>
    </row>
    <row r="2801" spans="18:18" ht="13.8">
      <c r="R2801" s="10">
        <v>2773</v>
      </c>
    </row>
    <row r="2802" spans="18:18" ht="13.8">
      <c r="R2802" s="10">
        <v>2774</v>
      </c>
    </row>
    <row r="2803" spans="18:18" ht="13.8">
      <c r="R2803" s="10">
        <v>2775</v>
      </c>
    </row>
    <row r="2804" spans="18:18" ht="13.8">
      <c r="R2804" s="10">
        <v>2776</v>
      </c>
    </row>
    <row r="2805" spans="18:18" ht="13.8">
      <c r="R2805" s="10">
        <v>2777</v>
      </c>
    </row>
    <row r="2806" spans="18:18" ht="13.8">
      <c r="R2806" s="10">
        <v>2778</v>
      </c>
    </row>
    <row r="2807" spans="18:18" ht="13.8">
      <c r="R2807" s="10">
        <v>2779</v>
      </c>
    </row>
    <row r="2808" spans="18:18" ht="13.8">
      <c r="R2808" s="10">
        <v>2780</v>
      </c>
    </row>
    <row r="2809" spans="18:18" ht="13.8">
      <c r="R2809" s="10">
        <v>2781</v>
      </c>
    </row>
    <row r="2810" spans="18:18" ht="13.8">
      <c r="R2810" s="10">
        <v>2782</v>
      </c>
    </row>
    <row r="2811" spans="18:18" ht="13.8">
      <c r="R2811" s="10">
        <v>2783</v>
      </c>
    </row>
    <row r="2812" spans="18:18" ht="13.8">
      <c r="R2812" s="10">
        <v>2784</v>
      </c>
    </row>
    <row r="2813" spans="18:18" ht="13.8">
      <c r="R2813" s="10">
        <v>2785</v>
      </c>
    </row>
    <row r="2814" spans="18:18" ht="13.8">
      <c r="R2814" s="10">
        <v>2786</v>
      </c>
    </row>
    <row r="2815" spans="18:18" ht="13.8">
      <c r="R2815" s="10">
        <v>2787</v>
      </c>
    </row>
    <row r="2816" spans="18:18" ht="13.8">
      <c r="R2816" s="10">
        <v>2788</v>
      </c>
    </row>
    <row r="2817" spans="18:18" ht="13.8">
      <c r="R2817" s="10">
        <v>2789</v>
      </c>
    </row>
    <row r="2818" spans="18:18" ht="13.8">
      <c r="R2818" s="10">
        <v>2790</v>
      </c>
    </row>
    <row r="2819" spans="18:18" ht="13.8">
      <c r="R2819" s="10">
        <v>2791</v>
      </c>
    </row>
    <row r="2820" spans="18:18" ht="13.8">
      <c r="R2820" s="10">
        <v>2792</v>
      </c>
    </row>
    <row r="2821" spans="18:18" ht="13.8">
      <c r="R2821" s="10">
        <v>2793</v>
      </c>
    </row>
    <row r="2822" spans="18:18" ht="13.8">
      <c r="R2822" s="10">
        <v>2794</v>
      </c>
    </row>
    <row r="2823" spans="18:18" ht="13.8">
      <c r="R2823" s="10">
        <v>2795</v>
      </c>
    </row>
    <row r="2824" spans="18:18" ht="13.8">
      <c r="R2824" s="10">
        <v>2796</v>
      </c>
    </row>
    <row r="2825" spans="18:18" ht="13.8">
      <c r="R2825" s="10">
        <v>2797</v>
      </c>
    </row>
    <row r="2826" spans="18:18" ht="13.8">
      <c r="R2826" s="10">
        <v>2798</v>
      </c>
    </row>
    <row r="2827" spans="18:18" ht="13.8">
      <c r="R2827" s="10">
        <v>2799</v>
      </c>
    </row>
    <row r="2828" spans="18:18" ht="13.8">
      <c r="R2828" s="10">
        <v>2800</v>
      </c>
    </row>
    <row r="2829" spans="18:18" ht="13.8">
      <c r="R2829" s="10">
        <v>2801</v>
      </c>
    </row>
    <row r="2830" spans="18:18" ht="13.8">
      <c r="R2830" s="10">
        <v>2802</v>
      </c>
    </row>
    <row r="2831" spans="18:18" ht="13.8">
      <c r="R2831" s="10">
        <v>2803</v>
      </c>
    </row>
    <row r="2832" spans="18:18" ht="13.8">
      <c r="R2832" s="10">
        <v>2804</v>
      </c>
    </row>
    <row r="2833" spans="18:18" ht="13.8">
      <c r="R2833" s="10">
        <v>2805</v>
      </c>
    </row>
    <row r="2834" spans="18:18" ht="13.8">
      <c r="R2834" s="10">
        <v>2806</v>
      </c>
    </row>
    <row r="2835" spans="18:18" ht="13.8">
      <c r="R2835" s="10">
        <v>2807</v>
      </c>
    </row>
    <row r="2836" spans="18:18" ht="13.8">
      <c r="R2836" s="10">
        <v>2808</v>
      </c>
    </row>
    <row r="2837" spans="18:18" ht="13.8">
      <c r="R2837" s="10">
        <v>2809</v>
      </c>
    </row>
    <row r="2838" spans="18:18" ht="13.8">
      <c r="R2838" s="10">
        <v>2810</v>
      </c>
    </row>
    <row r="2839" spans="18:18" ht="13.8">
      <c r="R2839" s="10">
        <v>2811</v>
      </c>
    </row>
    <row r="2840" spans="18:18" ht="13.8">
      <c r="R2840" s="10">
        <v>2812</v>
      </c>
    </row>
    <row r="2841" spans="18:18" ht="13.8">
      <c r="R2841" s="10">
        <v>2813</v>
      </c>
    </row>
    <row r="2842" spans="18:18" ht="13.8">
      <c r="R2842" s="10">
        <v>2814</v>
      </c>
    </row>
    <row r="2843" spans="18:18" ht="13.8">
      <c r="R2843" s="10">
        <v>2815</v>
      </c>
    </row>
    <row r="2844" spans="18:18" ht="13.8">
      <c r="R2844" s="10">
        <v>2816</v>
      </c>
    </row>
    <row r="2845" spans="18:18" ht="13.8">
      <c r="R2845" s="10">
        <v>2817</v>
      </c>
    </row>
    <row r="2846" spans="18:18" ht="13.8">
      <c r="R2846" s="10">
        <v>2818</v>
      </c>
    </row>
    <row r="2847" spans="18:18" ht="13.8">
      <c r="R2847" s="10">
        <v>2819</v>
      </c>
    </row>
    <row r="2848" spans="18:18" ht="13.8">
      <c r="R2848" s="10">
        <v>2820</v>
      </c>
    </row>
    <row r="2849" spans="18:18" ht="13.8">
      <c r="R2849" s="10">
        <v>2821</v>
      </c>
    </row>
    <row r="2850" spans="18:18" ht="13.8">
      <c r="R2850" s="10">
        <v>2822</v>
      </c>
    </row>
    <row r="2851" spans="18:18" ht="13.8">
      <c r="R2851" s="10">
        <v>2823</v>
      </c>
    </row>
    <row r="2852" spans="18:18" ht="13.8">
      <c r="R2852" s="10">
        <v>2824</v>
      </c>
    </row>
    <row r="2853" spans="18:18" ht="13.8">
      <c r="R2853" s="10">
        <v>2825</v>
      </c>
    </row>
    <row r="2854" spans="18:18" ht="13.8">
      <c r="R2854" s="10">
        <v>2826</v>
      </c>
    </row>
    <row r="2855" spans="18:18" ht="13.8">
      <c r="R2855" s="10">
        <v>2827</v>
      </c>
    </row>
    <row r="2856" spans="18:18" ht="13.8">
      <c r="R2856" s="10">
        <v>2828</v>
      </c>
    </row>
    <row r="2857" spans="18:18" ht="13.8">
      <c r="R2857" s="10">
        <v>2829</v>
      </c>
    </row>
    <row r="2858" spans="18:18" ht="13.8">
      <c r="R2858" s="10">
        <v>2830</v>
      </c>
    </row>
    <row r="2859" spans="18:18" ht="13.8">
      <c r="R2859" s="10">
        <v>2831</v>
      </c>
    </row>
    <row r="2860" spans="18:18" ht="13.8">
      <c r="R2860" s="10">
        <v>2832</v>
      </c>
    </row>
    <row r="2861" spans="18:18" ht="13.8">
      <c r="R2861" s="10">
        <v>2833</v>
      </c>
    </row>
    <row r="2862" spans="18:18" ht="13.8">
      <c r="R2862" s="10">
        <v>2834</v>
      </c>
    </row>
    <row r="2863" spans="18:18" ht="13.8">
      <c r="R2863" s="10">
        <v>2835</v>
      </c>
    </row>
    <row r="2864" spans="18:18" ht="13.8">
      <c r="R2864" s="10">
        <v>2836</v>
      </c>
    </row>
    <row r="2865" spans="18:18" ht="13.8">
      <c r="R2865" s="10">
        <v>2837</v>
      </c>
    </row>
    <row r="2866" spans="18:18" ht="13.8">
      <c r="R2866" s="10">
        <v>2838</v>
      </c>
    </row>
    <row r="2867" spans="18:18" ht="13.8">
      <c r="R2867" s="10">
        <v>2839</v>
      </c>
    </row>
    <row r="2868" spans="18:18" ht="13.8">
      <c r="R2868" s="10">
        <v>2840</v>
      </c>
    </row>
    <row r="2869" spans="18:18" ht="13.8">
      <c r="R2869" s="10">
        <v>2841</v>
      </c>
    </row>
    <row r="2870" spans="18:18" ht="13.8">
      <c r="R2870" s="10">
        <v>2842</v>
      </c>
    </row>
    <row r="2871" spans="18:18" ht="13.8">
      <c r="R2871" s="10">
        <v>2843</v>
      </c>
    </row>
    <row r="2872" spans="18:18" ht="13.8">
      <c r="R2872" s="10">
        <v>2844</v>
      </c>
    </row>
    <row r="2873" spans="18:18" ht="13.8">
      <c r="R2873" s="10">
        <v>2845</v>
      </c>
    </row>
    <row r="2874" spans="18:18" ht="13.8">
      <c r="R2874" s="10">
        <v>2846</v>
      </c>
    </row>
    <row r="2875" spans="18:18" ht="13.8">
      <c r="R2875" s="10">
        <v>2847</v>
      </c>
    </row>
    <row r="2876" spans="18:18" ht="13.8">
      <c r="R2876" s="10">
        <v>2848</v>
      </c>
    </row>
    <row r="2877" spans="18:18" ht="13.8">
      <c r="R2877" s="10">
        <v>2849</v>
      </c>
    </row>
    <row r="2878" spans="18:18" ht="13.8">
      <c r="R2878" s="10">
        <v>2850</v>
      </c>
    </row>
    <row r="2879" spans="18:18" ht="13.8">
      <c r="R2879" s="10">
        <v>2851</v>
      </c>
    </row>
    <row r="2880" spans="18:18" ht="13.8">
      <c r="R2880" s="10">
        <v>2852</v>
      </c>
    </row>
    <row r="2881" spans="18:18" ht="13.8">
      <c r="R2881" s="10">
        <v>2853</v>
      </c>
    </row>
    <row r="2882" spans="18:18" ht="13.8">
      <c r="R2882" s="10">
        <v>2854</v>
      </c>
    </row>
    <row r="2883" spans="18:18" ht="13.8">
      <c r="R2883" s="10">
        <v>2855</v>
      </c>
    </row>
    <row r="2884" spans="18:18" ht="13.8">
      <c r="R2884" s="10">
        <v>2856</v>
      </c>
    </row>
    <row r="2885" spans="18:18" ht="13.8">
      <c r="R2885" s="10">
        <v>2857</v>
      </c>
    </row>
    <row r="2886" spans="18:18" ht="13.8">
      <c r="R2886" s="10">
        <v>2858</v>
      </c>
    </row>
    <row r="2887" spans="18:18" ht="13.8">
      <c r="R2887" s="10">
        <v>2859</v>
      </c>
    </row>
    <row r="2888" spans="18:18" ht="13.8">
      <c r="R2888" s="10">
        <v>2860</v>
      </c>
    </row>
    <row r="2889" spans="18:18" ht="13.8">
      <c r="R2889" s="10">
        <v>2861</v>
      </c>
    </row>
    <row r="2890" spans="18:18" ht="13.8">
      <c r="R2890" s="10">
        <v>2862</v>
      </c>
    </row>
    <row r="2891" spans="18:18" ht="13.8">
      <c r="R2891" s="10">
        <v>2863</v>
      </c>
    </row>
    <row r="2892" spans="18:18" ht="13.8">
      <c r="R2892" s="10">
        <v>2864</v>
      </c>
    </row>
    <row r="2893" spans="18:18" ht="13.8">
      <c r="R2893" s="10">
        <v>2865</v>
      </c>
    </row>
    <row r="2894" spans="18:18" ht="13.8">
      <c r="R2894" s="10">
        <v>2866</v>
      </c>
    </row>
    <row r="2895" spans="18:18" ht="13.8">
      <c r="R2895" s="10">
        <v>2867</v>
      </c>
    </row>
    <row r="2896" spans="18:18" ht="13.8">
      <c r="R2896" s="10">
        <v>2868</v>
      </c>
    </row>
    <row r="2897" spans="18:18" ht="13.8">
      <c r="R2897" s="10">
        <v>2869</v>
      </c>
    </row>
    <row r="2898" spans="18:18" ht="13.8">
      <c r="R2898" s="10">
        <v>2870</v>
      </c>
    </row>
    <row r="2899" spans="18:18" ht="13.8">
      <c r="R2899" s="10">
        <v>2871</v>
      </c>
    </row>
    <row r="2900" spans="18:18" ht="13.8">
      <c r="R2900" s="10">
        <v>2872</v>
      </c>
    </row>
    <row r="2901" spans="18:18" ht="13.8">
      <c r="R2901" s="10">
        <v>2873</v>
      </c>
    </row>
    <row r="2902" spans="18:18" ht="13.8">
      <c r="R2902" s="10">
        <v>2874</v>
      </c>
    </row>
    <row r="2903" spans="18:18" ht="13.8">
      <c r="R2903" s="10">
        <v>2875</v>
      </c>
    </row>
    <row r="2904" spans="18:18" ht="13.8">
      <c r="R2904" s="10">
        <v>2876</v>
      </c>
    </row>
    <row r="2905" spans="18:18" ht="13.8">
      <c r="R2905" s="10">
        <v>2877</v>
      </c>
    </row>
    <row r="2906" spans="18:18" ht="13.8">
      <c r="R2906" s="10">
        <v>2878</v>
      </c>
    </row>
    <row r="2907" spans="18:18" ht="13.8">
      <c r="R2907" s="10">
        <v>2879</v>
      </c>
    </row>
    <row r="2908" spans="18:18" ht="13.8">
      <c r="R2908" s="10">
        <v>2880</v>
      </c>
    </row>
    <row r="2909" spans="18:18" ht="13.8">
      <c r="R2909" s="10">
        <v>2881</v>
      </c>
    </row>
    <row r="2910" spans="18:18" ht="13.8">
      <c r="R2910" s="10">
        <v>2882</v>
      </c>
    </row>
    <row r="2911" spans="18:18" ht="13.8">
      <c r="R2911" s="10">
        <v>2883</v>
      </c>
    </row>
    <row r="2912" spans="18:18" ht="13.8">
      <c r="R2912" s="10">
        <v>2884</v>
      </c>
    </row>
    <row r="2913" spans="18:18" ht="13.8">
      <c r="R2913" s="10">
        <v>2885</v>
      </c>
    </row>
    <row r="2914" spans="18:18" ht="13.8">
      <c r="R2914" s="10">
        <v>2886</v>
      </c>
    </row>
    <row r="2915" spans="18:18" ht="13.8">
      <c r="R2915" s="10">
        <v>2887</v>
      </c>
    </row>
    <row r="2916" spans="18:18" ht="13.8">
      <c r="R2916" s="10">
        <v>2888</v>
      </c>
    </row>
    <row r="2917" spans="18:18" ht="13.8">
      <c r="R2917" s="10">
        <v>2889</v>
      </c>
    </row>
    <row r="2918" spans="18:18" ht="13.8">
      <c r="R2918" s="10">
        <v>2890</v>
      </c>
    </row>
    <row r="2919" spans="18:18" ht="13.8">
      <c r="R2919" s="10">
        <v>2891</v>
      </c>
    </row>
    <row r="2920" spans="18:18" ht="13.8">
      <c r="R2920" s="10">
        <v>2892</v>
      </c>
    </row>
    <row r="2921" spans="18:18" ht="13.8">
      <c r="R2921" s="10">
        <v>2893</v>
      </c>
    </row>
    <row r="2922" spans="18:18" ht="13.8">
      <c r="R2922" s="10">
        <v>2894</v>
      </c>
    </row>
    <row r="2923" spans="18:18" ht="13.8">
      <c r="R2923" s="10">
        <v>2895</v>
      </c>
    </row>
    <row r="2924" spans="18:18" ht="13.8">
      <c r="R2924" s="10">
        <v>2896</v>
      </c>
    </row>
    <row r="2925" spans="18:18" ht="13.8">
      <c r="R2925" s="10">
        <v>2897</v>
      </c>
    </row>
    <row r="2926" spans="18:18" ht="13.8">
      <c r="R2926" s="10">
        <v>2898</v>
      </c>
    </row>
    <row r="2927" spans="18:18" ht="13.8">
      <c r="R2927" s="10">
        <v>2899</v>
      </c>
    </row>
    <row r="2928" spans="18:18" ht="13.8">
      <c r="R2928" s="10">
        <v>2900</v>
      </c>
    </row>
    <row r="2929" spans="18:18" ht="13.8">
      <c r="R2929" s="10">
        <v>2901</v>
      </c>
    </row>
    <row r="2930" spans="18:18" ht="13.8">
      <c r="R2930" s="10">
        <v>2902</v>
      </c>
    </row>
    <row r="2931" spans="18:18" ht="13.8">
      <c r="R2931" s="10">
        <v>2903</v>
      </c>
    </row>
    <row r="2932" spans="18:18" ht="13.8">
      <c r="R2932" s="10">
        <v>2904</v>
      </c>
    </row>
    <row r="2933" spans="18:18" ht="13.8">
      <c r="R2933" s="10">
        <v>2905</v>
      </c>
    </row>
    <row r="2934" spans="18:18" ht="13.8">
      <c r="R2934" s="10">
        <v>2906</v>
      </c>
    </row>
    <row r="2935" spans="18:18" ht="13.8">
      <c r="R2935" s="10">
        <v>2907</v>
      </c>
    </row>
    <row r="2936" spans="18:18" ht="13.8">
      <c r="R2936" s="10">
        <v>2908</v>
      </c>
    </row>
    <row r="2937" spans="18:18" ht="13.8">
      <c r="R2937" s="10">
        <v>2909</v>
      </c>
    </row>
    <row r="2938" spans="18:18" ht="13.8">
      <c r="R2938" s="10">
        <v>2910</v>
      </c>
    </row>
    <row r="2939" spans="18:18" ht="13.8">
      <c r="R2939" s="10">
        <v>2911</v>
      </c>
    </row>
    <row r="2940" spans="18:18" ht="13.8">
      <c r="R2940" s="10">
        <v>2912</v>
      </c>
    </row>
    <row r="2941" spans="18:18" ht="13.8">
      <c r="R2941" s="10">
        <v>2913</v>
      </c>
    </row>
    <row r="2942" spans="18:18" ht="13.8">
      <c r="R2942" s="10">
        <v>2914</v>
      </c>
    </row>
    <row r="2943" spans="18:18" ht="13.8">
      <c r="R2943" s="10">
        <v>2915</v>
      </c>
    </row>
    <row r="2944" spans="18:18" ht="13.8">
      <c r="R2944" s="10">
        <v>2916</v>
      </c>
    </row>
    <row r="2945" spans="18:18" ht="13.8">
      <c r="R2945" s="10">
        <v>2917</v>
      </c>
    </row>
    <row r="2946" spans="18:18" ht="13.8">
      <c r="R2946" s="10">
        <v>2918</v>
      </c>
    </row>
    <row r="2947" spans="18:18" ht="13.8">
      <c r="R2947" s="10">
        <v>2919</v>
      </c>
    </row>
    <row r="2948" spans="18:18" ht="13.8">
      <c r="R2948" s="10">
        <v>2920</v>
      </c>
    </row>
    <row r="2949" spans="18:18" ht="13.8">
      <c r="R2949" s="10">
        <v>2921</v>
      </c>
    </row>
    <row r="2950" spans="18:18" ht="13.8">
      <c r="R2950" s="10">
        <v>2922</v>
      </c>
    </row>
    <row r="2951" spans="18:18" ht="13.8">
      <c r="R2951" s="10">
        <v>2923</v>
      </c>
    </row>
    <row r="2952" spans="18:18" ht="13.8">
      <c r="R2952" s="10">
        <v>2924</v>
      </c>
    </row>
    <row r="2953" spans="18:18" ht="13.8">
      <c r="R2953" s="10">
        <v>2925</v>
      </c>
    </row>
    <row r="2954" spans="18:18" ht="13.8">
      <c r="R2954" s="10">
        <v>2926</v>
      </c>
    </row>
    <row r="2955" spans="18:18" ht="13.8">
      <c r="R2955" s="10">
        <v>2927</v>
      </c>
    </row>
    <row r="2956" spans="18:18" ht="13.8">
      <c r="R2956" s="10">
        <v>2928</v>
      </c>
    </row>
    <row r="2957" spans="18:18" ht="13.8">
      <c r="R2957" s="10">
        <v>2929</v>
      </c>
    </row>
    <row r="2958" spans="18:18" ht="13.8">
      <c r="R2958" s="10">
        <v>2930</v>
      </c>
    </row>
    <row r="2959" spans="18:18" ht="13.8">
      <c r="R2959" s="10">
        <v>2931</v>
      </c>
    </row>
    <row r="2960" spans="18:18" ht="13.8">
      <c r="R2960" s="10">
        <v>2932</v>
      </c>
    </row>
    <row r="2961" spans="18:18" ht="13.8">
      <c r="R2961" s="10">
        <v>2933</v>
      </c>
    </row>
    <row r="2962" spans="18:18" ht="13.8">
      <c r="R2962" s="10">
        <v>2934</v>
      </c>
    </row>
    <row r="2963" spans="18:18" ht="13.8">
      <c r="R2963" s="10">
        <v>2935</v>
      </c>
    </row>
    <row r="2964" spans="18:18" ht="13.8">
      <c r="R2964" s="10">
        <v>2936</v>
      </c>
    </row>
    <row r="2965" spans="18:18" ht="13.8">
      <c r="R2965" s="10">
        <v>2937</v>
      </c>
    </row>
    <row r="2966" spans="18:18" ht="13.8">
      <c r="R2966" s="10">
        <v>2938</v>
      </c>
    </row>
    <row r="2967" spans="18:18" ht="13.8">
      <c r="R2967" s="10">
        <v>2939</v>
      </c>
    </row>
    <row r="2968" spans="18:18" ht="13.8">
      <c r="R2968" s="10">
        <v>2940</v>
      </c>
    </row>
    <row r="2969" spans="18:18" ht="13.8">
      <c r="R2969" s="10">
        <v>2941</v>
      </c>
    </row>
    <row r="2970" spans="18:18" ht="13.8">
      <c r="R2970" s="10">
        <v>2942</v>
      </c>
    </row>
    <row r="2971" spans="18:18" ht="13.8">
      <c r="R2971" s="10">
        <v>2943</v>
      </c>
    </row>
    <row r="2972" spans="18:18" ht="13.8">
      <c r="R2972" s="10">
        <v>2944</v>
      </c>
    </row>
    <row r="2973" spans="18:18" ht="13.8">
      <c r="R2973" s="10">
        <v>2945</v>
      </c>
    </row>
    <row r="2974" spans="18:18" ht="13.8">
      <c r="R2974" s="10">
        <v>2946</v>
      </c>
    </row>
    <row r="2975" spans="18:18" ht="13.8">
      <c r="R2975" s="10">
        <v>2947</v>
      </c>
    </row>
    <row r="2976" spans="18:18" ht="13.8">
      <c r="R2976" s="10">
        <v>2948</v>
      </c>
    </row>
    <row r="2977" spans="18:18" ht="13.8">
      <c r="R2977" s="10">
        <v>2949</v>
      </c>
    </row>
    <row r="2978" spans="18:18" ht="13.8">
      <c r="R2978" s="10">
        <v>2950</v>
      </c>
    </row>
    <row r="2979" spans="18:18" ht="13.8">
      <c r="R2979" s="10">
        <v>2951</v>
      </c>
    </row>
    <row r="2980" spans="18:18" ht="13.8">
      <c r="R2980" s="10">
        <v>2952</v>
      </c>
    </row>
    <row r="2981" spans="18:18" ht="13.8">
      <c r="R2981" s="10">
        <v>2953</v>
      </c>
    </row>
    <row r="2982" spans="18:18" ht="13.8">
      <c r="R2982" s="10">
        <v>2954</v>
      </c>
    </row>
    <row r="2983" spans="18:18" ht="13.8">
      <c r="R2983" s="10">
        <v>2955</v>
      </c>
    </row>
    <row r="2984" spans="18:18" ht="13.8">
      <c r="R2984" s="10">
        <v>2956</v>
      </c>
    </row>
    <row r="2985" spans="18:18" ht="13.8">
      <c r="R2985" s="10">
        <v>2957</v>
      </c>
    </row>
    <row r="2986" spans="18:18" ht="13.8">
      <c r="R2986" s="10">
        <v>2958</v>
      </c>
    </row>
    <row r="2987" spans="18:18" ht="13.8">
      <c r="R2987" s="10">
        <v>2959</v>
      </c>
    </row>
    <row r="2988" spans="18:18" ht="13.8">
      <c r="R2988" s="10">
        <v>2960</v>
      </c>
    </row>
    <row r="2989" spans="18:18" ht="13.8">
      <c r="R2989" s="10">
        <v>2961</v>
      </c>
    </row>
    <row r="2990" spans="18:18" ht="13.8">
      <c r="R2990" s="10">
        <v>2962</v>
      </c>
    </row>
    <row r="2991" spans="18:18" ht="13.8">
      <c r="R2991" s="10">
        <v>2963</v>
      </c>
    </row>
    <row r="2992" spans="18:18" ht="13.8">
      <c r="R2992" s="10">
        <v>2964</v>
      </c>
    </row>
    <row r="2993" spans="18:18" ht="13.8">
      <c r="R2993" s="10">
        <v>2965</v>
      </c>
    </row>
    <row r="2994" spans="18:18" ht="13.8">
      <c r="R2994" s="10">
        <v>2966</v>
      </c>
    </row>
    <row r="2995" spans="18:18" ht="13.8">
      <c r="R2995" s="10">
        <v>2967</v>
      </c>
    </row>
    <row r="2996" spans="18:18" ht="13.8">
      <c r="R2996" s="10">
        <v>2968</v>
      </c>
    </row>
    <row r="2997" spans="18:18" ht="13.8">
      <c r="R2997" s="10">
        <v>2969</v>
      </c>
    </row>
    <row r="2998" spans="18:18" ht="13.8">
      <c r="R2998" s="10">
        <v>2970</v>
      </c>
    </row>
    <row r="2999" spans="18:18" ht="13.8">
      <c r="R2999" s="10">
        <v>2971</v>
      </c>
    </row>
    <row r="3000" spans="18:18" ht="13.8">
      <c r="R3000" s="10">
        <v>2972</v>
      </c>
    </row>
    <row r="3001" spans="18:18" ht="13.8">
      <c r="R3001" s="10">
        <v>2973</v>
      </c>
    </row>
    <row r="3002" spans="18:18" ht="13.8">
      <c r="R3002" s="10">
        <v>2974</v>
      </c>
    </row>
    <row r="3003" spans="18:18" ht="13.8">
      <c r="R3003" s="10">
        <v>2975</v>
      </c>
    </row>
    <row r="3004" spans="18:18" ht="13.8">
      <c r="R3004" s="10">
        <v>2976</v>
      </c>
    </row>
    <row r="3005" spans="18:18" ht="13.8">
      <c r="R3005" s="10">
        <v>2977</v>
      </c>
    </row>
    <row r="3006" spans="18:18" ht="13.8">
      <c r="R3006" s="10">
        <v>2978</v>
      </c>
    </row>
    <row r="3007" spans="18:18" ht="13.8">
      <c r="R3007" s="10">
        <v>2979</v>
      </c>
    </row>
    <row r="3008" spans="18:18" ht="13.8">
      <c r="R3008" s="10">
        <v>2980</v>
      </c>
    </row>
    <row r="3009" spans="18:18" ht="13.8">
      <c r="R3009" s="10">
        <v>2981</v>
      </c>
    </row>
    <row r="3010" spans="18:18" ht="13.8">
      <c r="R3010" s="10">
        <v>2982</v>
      </c>
    </row>
    <row r="3011" spans="18:18" ht="13.8">
      <c r="R3011" s="10">
        <v>2983</v>
      </c>
    </row>
    <row r="3012" spans="18:18" ht="13.8">
      <c r="R3012" s="10">
        <v>2984</v>
      </c>
    </row>
    <row r="3013" spans="18:18" ht="13.8">
      <c r="R3013" s="10">
        <v>2985</v>
      </c>
    </row>
    <row r="3014" spans="18:18" ht="13.8">
      <c r="R3014" s="10">
        <v>2986</v>
      </c>
    </row>
    <row r="3015" spans="18:18" ht="13.8">
      <c r="R3015" s="10">
        <v>2987</v>
      </c>
    </row>
    <row r="3016" spans="18:18" ht="13.8">
      <c r="R3016" s="10">
        <v>2988</v>
      </c>
    </row>
    <row r="3017" spans="18:18" ht="13.8">
      <c r="R3017" s="10">
        <v>2989</v>
      </c>
    </row>
    <row r="3018" spans="18:18" ht="13.8">
      <c r="R3018" s="10">
        <v>2990</v>
      </c>
    </row>
    <row r="3019" spans="18:18" ht="13.8">
      <c r="R3019" s="10">
        <v>2991</v>
      </c>
    </row>
    <row r="3020" spans="18:18" ht="13.8">
      <c r="R3020" s="10">
        <v>2992</v>
      </c>
    </row>
    <row r="3021" spans="18:18" ht="13.8">
      <c r="R3021" s="10">
        <v>2993</v>
      </c>
    </row>
    <row r="3022" spans="18:18" ht="13.8">
      <c r="R3022" s="10">
        <v>2994</v>
      </c>
    </row>
    <row r="3023" spans="18:18" ht="13.8">
      <c r="R3023" s="10">
        <v>2995</v>
      </c>
    </row>
    <row r="3024" spans="18:18" ht="13.8">
      <c r="R3024" s="10">
        <v>2996</v>
      </c>
    </row>
    <row r="3025" spans="18:18" ht="13.8">
      <c r="R3025" s="10">
        <v>2997</v>
      </c>
    </row>
    <row r="3026" spans="18:18" ht="13.8">
      <c r="R3026" s="10">
        <v>2998</v>
      </c>
    </row>
    <row r="3027" spans="18:18" ht="13.8">
      <c r="R3027" s="10">
        <v>2999</v>
      </c>
    </row>
    <row r="3028" spans="18:18" ht="13.8">
      <c r="R3028" s="10">
        <v>3000</v>
      </c>
    </row>
    <row r="3029" spans="18:18" ht="13.8">
      <c r="R3029" s="10">
        <v>3001</v>
      </c>
    </row>
    <row r="3030" spans="18:18" ht="13.8">
      <c r="R3030" s="10">
        <v>3002</v>
      </c>
    </row>
    <row r="3031" spans="18:18" ht="13.8">
      <c r="R3031" s="10">
        <v>3003</v>
      </c>
    </row>
    <row r="3032" spans="18:18" ht="13.8">
      <c r="R3032" s="10">
        <v>3004</v>
      </c>
    </row>
    <row r="3033" spans="18:18" ht="13.8">
      <c r="R3033" s="10">
        <v>3005</v>
      </c>
    </row>
    <row r="3034" spans="18:18" ht="13.8">
      <c r="R3034" s="10">
        <v>3006</v>
      </c>
    </row>
    <row r="3035" spans="18:18" ht="13.8">
      <c r="R3035" s="10">
        <v>3007</v>
      </c>
    </row>
    <row r="3036" spans="18:18" ht="13.8">
      <c r="R3036" s="10">
        <v>3008</v>
      </c>
    </row>
    <row r="3037" spans="18:18" ht="13.8">
      <c r="R3037" s="10">
        <v>3009</v>
      </c>
    </row>
    <row r="3038" spans="18:18" ht="13.8">
      <c r="R3038" s="10">
        <v>3010</v>
      </c>
    </row>
    <row r="3039" spans="18:18" ht="13.8">
      <c r="R3039" s="10">
        <v>3011</v>
      </c>
    </row>
    <row r="3040" spans="18:18" ht="13.8">
      <c r="R3040" s="10">
        <v>3012</v>
      </c>
    </row>
    <row r="3041" spans="18:18" ht="13.8">
      <c r="R3041" s="10">
        <v>3013</v>
      </c>
    </row>
    <row r="3042" spans="18:18" ht="13.8">
      <c r="R3042" s="10">
        <v>3014</v>
      </c>
    </row>
    <row r="3043" spans="18:18" ht="13.8">
      <c r="R3043" s="10">
        <v>3015</v>
      </c>
    </row>
    <row r="3044" spans="18:18" ht="13.8">
      <c r="R3044" s="10">
        <v>3016</v>
      </c>
    </row>
    <row r="3045" spans="18:18" ht="13.8">
      <c r="R3045" s="10">
        <v>3017</v>
      </c>
    </row>
    <row r="3046" spans="18:18" ht="13.8">
      <c r="R3046" s="10">
        <v>3018</v>
      </c>
    </row>
    <row r="3047" spans="18:18" ht="13.8">
      <c r="R3047" s="10">
        <v>3019</v>
      </c>
    </row>
    <row r="3048" spans="18:18" ht="13.8">
      <c r="R3048" s="10">
        <v>3020</v>
      </c>
    </row>
    <row r="3049" spans="18:18" ht="13.8">
      <c r="R3049" s="10">
        <v>3021</v>
      </c>
    </row>
    <row r="3050" spans="18:18" ht="13.8">
      <c r="R3050" s="10">
        <v>3022</v>
      </c>
    </row>
    <row r="3051" spans="18:18" ht="13.8">
      <c r="R3051" s="10">
        <v>3023</v>
      </c>
    </row>
    <row r="3052" spans="18:18" ht="13.8">
      <c r="R3052" s="10">
        <v>3024</v>
      </c>
    </row>
    <row r="3053" spans="18:18" ht="13.8">
      <c r="R3053" s="10">
        <v>3025</v>
      </c>
    </row>
    <row r="3054" spans="18:18" ht="13.8">
      <c r="R3054" s="10">
        <v>3026</v>
      </c>
    </row>
    <row r="3055" spans="18:18" ht="13.8">
      <c r="R3055" s="10">
        <v>3027</v>
      </c>
    </row>
    <row r="3056" spans="18:18" ht="13.8">
      <c r="R3056" s="10">
        <v>3028</v>
      </c>
    </row>
    <row r="3057" spans="18:18" ht="13.8">
      <c r="R3057" s="10">
        <v>3029</v>
      </c>
    </row>
    <row r="3058" spans="18:18" ht="13.8">
      <c r="R3058" s="10">
        <v>3030</v>
      </c>
    </row>
    <row r="3059" spans="18:18" ht="13.8">
      <c r="R3059" s="10">
        <v>3031</v>
      </c>
    </row>
    <row r="3060" spans="18:18" ht="13.8">
      <c r="R3060" s="10">
        <v>3032</v>
      </c>
    </row>
    <row r="3061" spans="18:18" ht="13.8">
      <c r="R3061" s="10">
        <v>3033</v>
      </c>
    </row>
    <row r="3062" spans="18:18" ht="13.8">
      <c r="R3062" s="10">
        <v>3034</v>
      </c>
    </row>
    <row r="3063" spans="18:18" ht="13.8">
      <c r="R3063" s="10">
        <v>3035</v>
      </c>
    </row>
    <row r="3064" spans="18:18" ht="13.8">
      <c r="R3064" s="10">
        <v>3036</v>
      </c>
    </row>
    <row r="3065" spans="18:18" ht="13.8">
      <c r="R3065" s="10">
        <v>3037</v>
      </c>
    </row>
    <row r="3066" spans="18:18" ht="13.8">
      <c r="R3066" s="10">
        <v>3038</v>
      </c>
    </row>
    <row r="3067" spans="18:18" ht="13.8">
      <c r="R3067" s="10">
        <v>3039</v>
      </c>
    </row>
    <row r="3068" spans="18:18" ht="13.8">
      <c r="R3068" s="10">
        <v>3040</v>
      </c>
    </row>
    <row r="3069" spans="18:18" ht="13.8">
      <c r="R3069" s="10">
        <v>3041</v>
      </c>
    </row>
    <row r="3070" spans="18:18" ht="13.8">
      <c r="R3070" s="10">
        <v>3042</v>
      </c>
    </row>
    <row r="3071" spans="18:18" ht="13.8">
      <c r="R3071" s="10">
        <v>3043</v>
      </c>
    </row>
    <row r="3072" spans="18:18" ht="13.8">
      <c r="R3072" s="10">
        <v>3044</v>
      </c>
    </row>
    <row r="3073" spans="18:18" ht="13.8">
      <c r="R3073" s="10">
        <v>3045</v>
      </c>
    </row>
    <row r="3074" spans="18:18" ht="13.8">
      <c r="R3074" s="10">
        <v>3046</v>
      </c>
    </row>
    <row r="3075" spans="18:18" ht="13.8">
      <c r="R3075" s="10">
        <v>3047</v>
      </c>
    </row>
    <row r="3076" spans="18:18" ht="13.8">
      <c r="R3076" s="10">
        <v>3048</v>
      </c>
    </row>
    <row r="3077" spans="18:18" ht="13.8">
      <c r="R3077" s="10">
        <v>3049</v>
      </c>
    </row>
    <row r="3078" spans="18:18" ht="13.8">
      <c r="R3078" s="10">
        <v>3050</v>
      </c>
    </row>
    <row r="3079" spans="18:18" ht="13.8">
      <c r="R3079" s="10">
        <v>3051</v>
      </c>
    </row>
    <row r="3080" spans="18:18" ht="13.8">
      <c r="R3080" s="10">
        <v>3052</v>
      </c>
    </row>
    <row r="3081" spans="18:18" ht="13.8">
      <c r="R3081" s="10">
        <v>3053</v>
      </c>
    </row>
    <row r="3082" spans="18:18" ht="13.8">
      <c r="R3082" s="10">
        <v>3054</v>
      </c>
    </row>
    <row r="3083" spans="18:18" ht="13.8">
      <c r="R3083" s="10">
        <v>3055</v>
      </c>
    </row>
    <row r="3084" spans="18:18" ht="13.8">
      <c r="R3084" s="10">
        <v>3056</v>
      </c>
    </row>
    <row r="3085" spans="18:18" ht="13.8">
      <c r="R3085" s="10">
        <v>3057</v>
      </c>
    </row>
    <row r="3086" spans="18:18" ht="13.8">
      <c r="R3086" s="10">
        <v>3058</v>
      </c>
    </row>
    <row r="3087" spans="18:18" ht="13.8">
      <c r="R3087" s="10">
        <v>3059</v>
      </c>
    </row>
    <row r="3088" spans="18:18" ht="13.8">
      <c r="R3088" s="10">
        <v>3060</v>
      </c>
    </row>
    <row r="3089" spans="18:18" ht="13.8">
      <c r="R3089" s="10">
        <v>3061</v>
      </c>
    </row>
    <row r="3090" spans="18:18" ht="13.8">
      <c r="R3090" s="10">
        <v>3062</v>
      </c>
    </row>
    <row r="3091" spans="18:18" ht="13.8">
      <c r="R3091" s="10">
        <v>3063</v>
      </c>
    </row>
    <row r="3092" spans="18:18" ht="13.8">
      <c r="R3092" s="10">
        <v>3064</v>
      </c>
    </row>
    <row r="3093" spans="18:18" ht="13.8">
      <c r="R3093" s="10">
        <v>3065</v>
      </c>
    </row>
    <row r="3094" spans="18:18" ht="13.8">
      <c r="R3094" s="10">
        <v>3066</v>
      </c>
    </row>
    <row r="3095" spans="18:18" ht="13.8">
      <c r="R3095" s="10">
        <v>3067</v>
      </c>
    </row>
    <row r="3096" spans="18:18" ht="13.8">
      <c r="R3096" s="10">
        <v>3068</v>
      </c>
    </row>
    <row r="3097" spans="18:18" ht="13.8">
      <c r="R3097" s="10">
        <v>3069</v>
      </c>
    </row>
    <row r="3098" spans="18:18" ht="13.8">
      <c r="R3098" s="10">
        <v>3070</v>
      </c>
    </row>
    <row r="3099" spans="18:18" ht="13.8">
      <c r="R3099" s="10">
        <v>3071</v>
      </c>
    </row>
    <row r="3100" spans="18:18" ht="13.8">
      <c r="R3100" s="10">
        <v>3072</v>
      </c>
    </row>
    <row r="3101" spans="18:18" ht="13.8">
      <c r="R3101" s="10">
        <v>3073</v>
      </c>
    </row>
    <row r="3102" spans="18:18" ht="13.8">
      <c r="R3102" s="10">
        <v>3074</v>
      </c>
    </row>
    <row r="3103" spans="18:18" ht="13.8">
      <c r="R3103" s="10">
        <v>3075</v>
      </c>
    </row>
    <row r="3104" spans="18:18" ht="13.8">
      <c r="R3104" s="10">
        <v>3076</v>
      </c>
    </row>
    <row r="3105" spans="18:18" ht="13.8">
      <c r="R3105" s="10">
        <v>3077</v>
      </c>
    </row>
    <row r="3106" spans="18:18" ht="13.8">
      <c r="R3106" s="10">
        <v>3078</v>
      </c>
    </row>
    <row r="3107" spans="18:18" ht="13.8">
      <c r="R3107" s="10">
        <v>3079</v>
      </c>
    </row>
    <row r="3108" spans="18:18" ht="13.8">
      <c r="R3108" s="10">
        <v>3080</v>
      </c>
    </row>
    <row r="3109" spans="18:18" ht="13.8">
      <c r="R3109" s="10">
        <v>3081</v>
      </c>
    </row>
    <row r="3110" spans="18:18" ht="13.8">
      <c r="R3110" s="10">
        <v>3082</v>
      </c>
    </row>
    <row r="3111" spans="18:18" ht="13.8">
      <c r="R3111" s="10">
        <v>3083</v>
      </c>
    </row>
    <row r="3112" spans="18:18" ht="13.8">
      <c r="R3112" s="10">
        <v>3084</v>
      </c>
    </row>
    <row r="3113" spans="18:18" ht="13.8">
      <c r="R3113" s="10">
        <v>3085</v>
      </c>
    </row>
    <row r="3114" spans="18:18" ht="13.8">
      <c r="R3114" s="10">
        <v>3086</v>
      </c>
    </row>
    <row r="3115" spans="18:18" ht="13.8">
      <c r="R3115" s="10">
        <v>3087</v>
      </c>
    </row>
    <row r="3116" spans="18:18" ht="13.8">
      <c r="R3116" s="10">
        <v>3088</v>
      </c>
    </row>
    <row r="3117" spans="18:18" ht="13.8">
      <c r="R3117" s="10">
        <v>3089</v>
      </c>
    </row>
    <row r="3118" spans="18:18" ht="13.8">
      <c r="R3118" s="10">
        <v>3090</v>
      </c>
    </row>
    <row r="3119" spans="18:18" ht="13.8">
      <c r="R3119" s="10">
        <v>3091</v>
      </c>
    </row>
    <row r="3120" spans="18:18" ht="13.8">
      <c r="R3120" s="10">
        <v>3092</v>
      </c>
    </row>
    <row r="3121" spans="18:18" ht="13.8">
      <c r="R3121" s="10">
        <v>3093</v>
      </c>
    </row>
    <row r="3122" spans="18:18" ht="13.8">
      <c r="R3122" s="10">
        <v>3094</v>
      </c>
    </row>
    <row r="3123" spans="18:18" ht="13.8">
      <c r="R3123" s="10">
        <v>3095</v>
      </c>
    </row>
    <row r="3124" spans="18:18" ht="13.8">
      <c r="R3124" s="10">
        <v>3096</v>
      </c>
    </row>
    <row r="3125" spans="18:18" ht="13.8">
      <c r="R3125" s="10">
        <v>3097</v>
      </c>
    </row>
    <row r="3126" spans="18:18" ht="13.8">
      <c r="R3126" s="10">
        <v>3098</v>
      </c>
    </row>
    <row r="3127" spans="18:18" ht="13.8">
      <c r="R3127" s="10">
        <v>3099</v>
      </c>
    </row>
    <row r="3128" spans="18:18" ht="13.8">
      <c r="R3128" s="10">
        <v>3100</v>
      </c>
    </row>
    <row r="3129" spans="18:18" ht="13.8">
      <c r="R3129" s="10">
        <v>3101</v>
      </c>
    </row>
    <row r="3130" spans="18:18" ht="13.8">
      <c r="R3130" s="10">
        <v>3102</v>
      </c>
    </row>
    <row r="3131" spans="18:18" ht="13.8">
      <c r="R3131" s="10">
        <v>3103</v>
      </c>
    </row>
    <row r="3132" spans="18:18" ht="13.8">
      <c r="R3132" s="10">
        <v>3104</v>
      </c>
    </row>
    <row r="3133" spans="18:18" ht="13.8">
      <c r="R3133" s="10">
        <v>3105</v>
      </c>
    </row>
    <row r="3134" spans="18:18" ht="13.8">
      <c r="R3134" s="10">
        <v>3106</v>
      </c>
    </row>
    <row r="3135" spans="18:18" ht="13.8">
      <c r="R3135" s="10">
        <v>3107</v>
      </c>
    </row>
    <row r="3136" spans="18:18" ht="13.8">
      <c r="R3136" s="10">
        <v>3108</v>
      </c>
    </row>
    <row r="3137" spans="18:18" ht="13.8">
      <c r="R3137" s="10">
        <v>3109</v>
      </c>
    </row>
    <row r="3138" spans="18:18" ht="13.8">
      <c r="R3138" s="10">
        <v>3110</v>
      </c>
    </row>
    <row r="3139" spans="18:18" ht="13.8">
      <c r="R3139" s="10">
        <v>3111</v>
      </c>
    </row>
    <row r="3140" spans="18:18" ht="13.8">
      <c r="R3140" s="10">
        <v>3112</v>
      </c>
    </row>
    <row r="3141" spans="18:18" ht="13.8">
      <c r="R3141" s="10">
        <v>3113</v>
      </c>
    </row>
    <row r="3142" spans="18:18" ht="13.8">
      <c r="R3142" s="10">
        <v>3114</v>
      </c>
    </row>
    <row r="3143" spans="18:18" ht="13.8">
      <c r="R3143" s="10">
        <v>3115</v>
      </c>
    </row>
    <row r="3144" spans="18:18" ht="13.8">
      <c r="R3144" s="10">
        <v>3116</v>
      </c>
    </row>
    <row r="3145" spans="18:18" ht="13.8">
      <c r="R3145" s="10">
        <v>3117</v>
      </c>
    </row>
    <row r="3146" spans="18:18" ht="13.8">
      <c r="R3146" s="10">
        <v>3118</v>
      </c>
    </row>
    <row r="3147" spans="18:18" ht="13.8">
      <c r="R3147" s="10">
        <v>3119</v>
      </c>
    </row>
    <row r="3148" spans="18:18" ht="13.8">
      <c r="R3148" s="10">
        <v>3120</v>
      </c>
    </row>
    <row r="3149" spans="18:18" ht="13.8">
      <c r="R3149" s="10">
        <v>3121</v>
      </c>
    </row>
    <row r="3150" spans="18:18" ht="13.8">
      <c r="R3150" s="10">
        <v>3122</v>
      </c>
    </row>
    <row r="3151" spans="18:18" ht="13.8">
      <c r="R3151" s="10">
        <v>3123</v>
      </c>
    </row>
    <row r="3152" spans="18:18" ht="13.8">
      <c r="R3152" s="10">
        <v>3124</v>
      </c>
    </row>
    <row r="3153" spans="18:18" ht="13.8">
      <c r="R3153" s="10">
        <v>3125</v>
      </c>
    </row>
    <row r="3154" spans="18:18" ht="13.8">
      <c r="R3154" s="10">
        <v>3126</v>
      </c>
    </row>
    <row r="3155" spans="18:18" ht="13.8">
      <c r="R3155" s="10">
        <v>3127</v>
      </c>
    </row>
    <row r="3156" spans="18:18" ht="13.8">
      <c r="R3156" s="10">
        <v>3128</v>
      </c>
    </row>
    <row r="3157" spans="18:18" ht="13.8">
      <c r="R3157" s="10">
        <v>3129</v>
      </c>
    </row>
    <row r="3158" spans="18:18" ht="13.8">
      <c r="R3158" s="10">
        <v>3130</v>
      </c>
    </row>
    <row r="3159" spans="18:18" ht="13.8">
      <c r="R3159" s="10">
        <v>3131</v>
      </c>
    </row>
    <row r="3160" spans="18:18" ht="13.8">
      <c r="R3160" s="10">
        <v>3132</v>
      </c>
    </row>
    <row r="3161" spans="18:18" ht="13.8">
      <c r="R3161" s="10">
        <v>3133</v>
      </c>
    </row>
    <row r="3162" spans="18:18" ht="13.8">
      <c r="R3162" s="10">
        <v>3134</v>
      </c>
    </row>
    <row r="3163" spans="18:18" ht="13.8">
      <c r="R3163" s="10">
        <v>3135</v>
      </c>
    </row>
    <row r="3164" spans="18:18" ht="13.8">
      <c r="R3164" s="10">
        <v>3136</v>
      </c>
    </row>
    <row r="3165" spans="18:18" ht="13.8">
      <c r="R3165" s="10">
        <v>3137</v>
      </c>
    </row>
    <row r="3166" spans="18:18" ht="13.8">
      <c r="R3166" s="10">
        <v>3138</v>
      </c>
    </row>
    <row r="3167" spans="18:18" ht="13.8">
      <c r="R3167" s="10">
        <v>3139</v>
      </c>
    </row>
    <row r="3168" spans="18:18" ht="13.8">
      <c r="R3168" s="10">
        <v>3140</v>
      </c>
    </row>
    <row r="3169" spans="18:18" ht="13.8">
      <c r="R3169" s="10">
        <v>3141</v>
      </c>
    </row>
    <row r="3170" spans="18:18" ht="13.8">
      <c r="R3170" s="10">
        <v>3142</v>
      </c>
    </row>
    <row r="3171" spans="18:18" ht="13.8">
      <c r="R3171" s="10">
        <v>3143</v>
      </c>
    </row>
    <row r="3172" spans="18:18" ht="13.8">
      <c r="R3172" s="10">
        <v>3144</v>
      </c>
    </row>
    <row r="3173" spans="18:18" ht="13.8">
      <c r="R3173" s="10">
        <v>3145</v>
      </c>
    </row>
    <row r="3174" spans="18:18" ht="13.8">
      <c r="R3174" s="10">
        <v>3146</v>
      </c>
    </row>
    <row r="3175" spans="18:18" ht="13.8">
      <c r="R3175" s="10">
        <v>3147</v>
      </c>
    </row>
    <row r="3176" spans="18:18" ht="13.8">
      <c r="R3176" s="10">
        <v>3148</v>
      </c>
    </row>
    <row r="3177" spans="18:18" ht="13.8">
      <c r="R3177" s="10">
        <v>3149</v>
      </c>
    </row>
    <row r="3178" spans="18:18" ht="13.8">
      <c r="R3178" s="10">
        <v>3150</v>
      </c>
    </row>
    <row r="3179" spans="18:18" ht="13.8">
      <c r="R3179" s="10">
        <v>3151</v>
      </c>
    </row>
    <row r="3180" spans="18:18" ht="13.8">
      <c r="R3180" s="10">
        <v>3152</v>
      </c>
    </row>
    <row r="3181" spans="18:18" ht="13.8">
      <c r="R3181" s="10">
        <v>3153</v>
      </c>
    </row>
    <row r="3182" spans="18:18" ht="13.8">
      <c r="R3182" s="10">
        <v>3154</v>
      </c>
    </row>
    <row r="3183" spans="18:18" ht="13.8">
      <c r="R3183" s="10">
        <v>3155</v>
      </c>
    </row>
    <row r="3184" spans="18:18" ht="13.8">
      <c r="R3184" s="10">
        <v>3156</v>
      </c>
    </row>
    <row r="3185" spans="18:18" ht="13.8">
      <c r="R3185" s="10">
        <v>3157</v>
      </c>
    </row>
    <row r="3186" spans="18:18" ht="13.8">
      <c r="R3186" s="10">
        <v>3158</v>
      </c>
    </row>
    <row r="3187" spans="18:18" ht="13.8">
      <c r="R3187" s="10">
        <v>3159</v>
      </c>
    </row>
    <row r="3188" spans="18:18" ht="13.8">
      <c r="R3188" s="10">
        <v>3160</v>
      </c>
    </row>
    <row r="3189" spans="18:18" ht="13.8">
      <c r="R3189" s="10">
        <v>3161</v>
      </c>
    </row>
    <row r="3190" spans="18:18" ht="13.8">
      <c r="R3190" s="10">
        <v>3162</v>
      </c>
    </row>
    <row r="3191" spans="18:18" ht="13.8">
      <c r="R3191" s="10">
        <v>3163</v>
      </c>
    </row>
    <row r="3192" spans="18:18" ht="13.8">
      <c r="R3192" s="10">
        <v>3164</v>
      </c>
    </row>
    <row r="3193" spans="18:18" ht="13.8">
      <c r="R3193" s="10">
        <v>3165</v>
      </c>
    </row>
    <row r="3194" spans="18:18" ht="13.8">
      <c r="R3194" s="10">
        <v>3166</v>
      </c>
    </row>
    <row r="3195" spans="18:18" ht="13.8">
      <c r="R3195" s="10">
        <v>3167</v>
      </c>
    </row>
    <row r="3196" spans="18:18" ht="13.8">
      <c r="R3196" s="10">
        <v>3168</v>
      </c>
    </row>
    <row r="3197" spans="18:18" ht="13.8">
      <c r="R3197" s="10">
        <v>3169</v>
      </c>
    </row>
    <row r="3198" spans="18:18" ht="13.8">
      <c r="R3198" s="10">
        <v>3170</v>
      </c>
    </row>
    <row r="3199" spans="18:18" ht="13.8">
      <c r="R3199" s="10">
        <v>3171</v>
      </c>
    </row>
    <row r="3200" spans="18:18" ht="13.8">
      <c r="R3200" s="10">
        <v>3172</v>
      </c>
    </row>
    <row r="3201" spans="18:18" ht="13.8">
      <c r="R3201" s="10">
        <v>3173</v>
      </c>
    </row>
    <row r="3202" spans="18:18" ht="13.8">
      <c r="R3202" s="10">
        <v>3174</v>
      </c>
    </row>
    <row r="3203" spans="18:18" ht="13.8">
      <c r="R3203" s="10">
        <v>3175</v>
      </c>
    </row>
    <row r="3204" spans="18:18" ht="13.8">
      <c r="R3204" s="10">
        <v>3176</v>
      </c>
    </row>
    <row r="3205" spans="18:18" ht="13.8">
      <c r="R3205" s="10">
        <v>3177</v>
      </c>
    </row>
    <row r="3206" spans="18:18" ht="13.8">
      <c r="R3206" s="10">
        <v>3178</v>
      </c>
    </row>
    <row r="3207" spans="18:18" ht="13.8">
      <c r="R3207" s="10">
        <v>3179</v>
      </c>
    </row>
    <row r="3208" spans="18:18" ht="13.8">
      <c r="R3208" s="10">
        <v>3180</v>
      </c>
    </row>
    <row r="3209" spans="18:18" ht="13.8">
      <c r="R3209" s="10">
        <v>3181</v>
      </c>
    </row>
    <row r="3210" spans="18:18" ht="13.8">
      <c r="R3210" s="10">
        <v>3182</v>
      </c>
    </row>
    <row r="3211" spans="18:18" ht="13.8">
      <c r="R3211" s="10">
        <v>3183</v>
      </c>
    </row>
    <row r="3212" spans="18:18" ht="13.8">
      <c r="R3212" s="10">
        <v>3184</v>
      </c>
    </row>
    <row r="3213" spans="18:18" ht="13.8">
      <c r="R3213" s="10">
        <v>3185</v>
      </c>
    </row>
    <row r="3214" spans="18:18" ht="13.8">
      <c r="R3214" s="10">
        <v>3186</v>
      </c>
    </row>
    <row r="3215" spans="18:18" ht="13.8">
      <c r="R3215" s="10">
        <v>3187</v>
      </c>
    </row>
    <row r="3216" spans="18:18" ht="13.8">
      <c r="R3216" s="10">
        <v>3188</v>
      </c>
    </row>
    <row r="3217" spans="18:18" ht="13.8">
      <c r="R3217" s="10">
        <v>3189</v>
      </c>
    </row>
    <row r="3218" spans="18:18" ht="13.8">
      <c r="R3218" s="10">
        <v>3190</v>
      </c>
    </row>
    <row r="3219" spans="18:18" ht="13.8">
      <c r="R3219" s="10">
        <v>3191</v>
      </c>
    </row>
    <row r="3220" spans="18:18" ht="13.8">
      <c r="R3220" s="10">
        <v>3192</v>
      </c>
    </row>
    <row r="3221" spans="18:18" ht="13.8">
      <c r="R3221" s="10">
        <v>3193</v>
      </c>
    </row>
    <row r="3222" spans="18:18" ht="13.8">
      <c r="R3222" s="10">
        <v>3194</v>
      </c>
    </row>
    <row r="3223" spans="18:18" ht="13.8">
      <c r="R3223" s="10">
        <v>3195</v>
      </c>
    </row>
    <row r="3224" spans="18:18" ht="13.8">
      <c r="R3224" s="10">
        <v>3196</v>
      </c>
    </row>
    <row r="3225" spans="18:18" ht="13.8">
      <c r="R3225" s="10">
        <v>3197</v>
      </c>
    </row>
    <row r="3226" spans="18:18" ht="13.8">
      <c r="R3226" s="10">
        <v>3198</v>
      </c>
    </row>
    <row r="3227" spans="18:18" ht="13.8">
      <c r="R3227" s="10">
        <v>3199</v>
      </c>
    </row>
    <row r="3228" spans="18:18" ht="13.8">
      <c r="R3228" s="10">
        <v>3200</v>
      </c>
    </row>
    <row r="3229" spans="18:18" ht="13.8">
      <c r="R3229" s="10">
        <v>3201</v>
      </c>
    </row>
    <row r="3230" spans="18:18" ht="13.8">
      <c r="R3230" s="10">
        <v>3202</v>
      </c>
    </row>
    <row r="3231" spans="18:18" ht="13.8">
      <c r="R3231" s="10">
        <v>3203</v>
      </c>
    </row>
    <row r="3232" spans="18:18" ht="13.8">
      <c r="R3232" s="10">
        <v>3204</v>
      </c>
    </row>
    <row r="3233" spans="18:18" ht="13.8">
      <c r="R3233" s="10">
        <v>3205</v>
      </c>
    </row>
    <row r="3234" spans="18:18" ht="13.8">
      <c r="R3234" s="10">
        <v>3206</v>
      </c>
    </row>
    <row r="3235" spans="18:18" ht="13.8">
      <c r="R3235" s="10">
        <v>3207</v>
      </c>
    </row>
    <row r="3236" spans="18:18" ht="13.8">
      <c r="R3236" s="10">
        <v>3208</v>
      </c>
    </row>
    <row r="3237" spans="18:18" ht="13.8">
      <c r="R3237" s="10">
        <v>3209</v>
      </c>
    </row>
    <row r="3238" spans="18:18" ht="13.8">
      <c r="R3238" s="10">
        <v>3210</v>
      </c>
    </row>
    <row r="3239" spans="18:18" ht="13.8">
      <c r="R3239" s="10">
        <v>3211</v>
      </c>
    </row>
    <row r="3240" spans="18:18" ht="13.8">
      <c r="R3240" s="10">
        <v>3212</v>
      </c>
    </row>
    <row r="3241" spans="18:18" ht="13.8">
      <c r="R3241" s="10">
        <v>3213</v>
      </c>
    </row>
    <row r="3242" spans="18:18" ht="13.8">
      <c r="R3242" s="10">
        <v>3214</v>
      </c>
    </row>
    <row r="3243" spans="18:18" ht="13.8">
      <c r="R3243" s="10">
        <v>3215</v>
      </c>
    </row>
    <row r="3244" spans="18:18" ht="13.8">
      <c r="R3244" s="10">
        <v>3216</v>
      </c>
    </row>
    <row r="3245" spans="18:18" ht="13.8">
      <c r="R3245" s="10">
        <v>3217</v>
      </c>
    </row>
    <row r="3246" spans="18:18" ht="13.8">
      <c r="R3246" s="10">
        <v>3218</v>
      </c>
    </row>
    <row r="3247" spans="18:18" ht="13.8">
      <c r="R3247" s="10">
        <v>3219</v>
      </c>
    </row>
    <row r="3248" spans="18:18" ht="13.8">
      <c r="R3248" s="10">
        <v>3220</v>
      </c>
    </row>
    <row r="3249" spans="18:18" ht="13.8">
      <c r="R3249" s="10">
        <v>3221</v>
      </c>
    </row>
    <row r="3250" spans="18:18" ht="13.8">
      <c r="R3250" s="10">
        <v>3222</v>
      </c>
    </row>
    <row r="3251" spans="18:18" ht="13.8">
      <c r="R3251" s="10">
        <v>3223</v>
      </c>
    </row>
    <row r="3252" spans="18:18" ht="13.8">
      <c r="R3252" s="10">
        <v>3224</v>
      </c>
    </row>
    <row r="3253" spans="18:18" ht="13.8">
      <c r="R3253" s="10">
        <v>3225</v>
      </c>
    </row>
    <row r="3254" spans="18:18" ht="13.8">
      <c r="R3254" s="10">
        <v>3226</v>
      </c>
    </row>
    <row r="3255" spans="18:18" ht="13.8">
      <c r="R3255" s="10">
        <v>3227</v>
      </c>
    </row>
    <row r="3256" spans="18:18" ht="13.8">
      <c r="R3256" s="10">
        <v>3228</v>
      </c>
    </row>
    <row r="3257" spans="18:18" ht="13.8">
      <c r="R3257" s="10">
        <v>3229</v>
      </c>
    </row>
    <row r="3258" spans="18:18" ht="13.8">
      <c r="R3258" s="10">
        <v>3230</v>
      </c>
    </row>
    <row r="3259" spans="18:18" ht="13.8">
      <c r="R3259" s="10">
        <v>3231</v>
      </c>
    </row>
    <row r="3260" spans="18:18" ht="13.8">
      <c r="R3260" s="10">
        <v>3232</v>
      </c>
    </row>
    <row r="3261" spans="18:18" ht="13.8">
      <c r="R3261" s="10">
        <v>3233</v>
      </c>
    </row>
    <row r="3262" spans="18:18" ht="13.8">
      <c r="R3262" s="10">
        <v>3234</v>
      </c>
    </row>
    <row r="3263" spans="18:18" ht="13.8">
      <c r="R3263" s="10">
        <v>3235</v>
      </c>
    </row>
    <row r="3264" spans="18:18" ht="13.8">
      <c r="R3264" s="10">
        <v>3236</v>
      </c>
    </row>
    <row r="3265" spans="18:18" ht="13.8">
      <c r="R3265" s="10">
        <v>3237</v>
      </c>
    </row>
    <row r="3266" spans="18:18" ht="13.8">
      <c r="R3266" s="10">
        <v>3238</v>
      </c>
    </row>
    <row r="3267" spans="18:18" ht="13.8">
      <c r="R3267" s="10">
        <v>3239</v>
      </c>
    </row>
    <row r="3268" spans="18:18" ht="13.8">
      <c r="R3268" s="10">
        <v>3240</v>
      </c>
    </row>
    <row r="3269" spans="18:18" ht="13.8">
      <c r="R3269" s="10">
        <v>3241</v>
      </c>
    </row>
    <row r="3270" spans="18:18" ht="13.8">
      <c r="R3270" s="10">
        <v>3242</v>
      </c>
    </row>
    <row r="3271" spans="18:18" ht="13.8">
      <c r="R3271" s="10">
        <v>3243</v>
      </c>
    </row>
    <row r="3272" spans="18:18" ht="13.8">
      <c r="R3272" s="10">
        <v>3244</v>
      </c>
    </row>
    <row r="3273" spans="18:18" ht="13.8">
      <c r="R3273" s="10">
        <v>3245</v>
      </c>
    </row>
    <row r="3274" spans="18:18" ht="13.8">
      <c r="R3274" s="10">
        <v>3246</v>
      </c>
    </row>
    <row r="3275" spans="18:18" ht="13.8">
      <c r="R3275" s="10">
        <v>3247</v>
      </c>
    </row>
    <row r="3276" spans="18:18" ht="13.8">
      <c r="R3276" s="10">
        <v>3248</v>
      </c>
    </row>
    <row r="3277" spans="18:18" ht="13.8">
      <c r="R3277" s="10">
        <v>3249</v>
      </c>
    </row>
    <row r="3278" spans="18:18" ht="13.8">
      <c r="R3278" s="10">
        <v>3250</v>
      </c>
    </row>
    <row r="3279" spans="18:18" ht="13.8">
      <c r="R3279" s="10">
        <v>3251</v>
      </c>
    </row>
    <row r="3280" spans="18:18" ht="13.8">
      <c r="R3280" s="10">
        <v>3252</v>
      </c>
    </row>
    <row r="3281" spans="18:18" ht="13.8">
      <c r="R3281" s="10">
        <v>3253</v>
      </c>
    </row>
    <row r="3282" spans="18:18" ht="13.8">
      <c r="R3282" s="10">
        <v>3254</v>
      </c>
    </row>
    <row r="3283" spans="18:18" ht="13.8">
      <c r="R3283" s="10">
        <v>3255</v>
      </c>
    </row>
    <row r="3284" spans="18:18" ht="13.8">
      <c r="R3284" s="10">
        <v>3256</v>
      </c>
    </row>
    <row r="3285" spans="18:18" ht="13.8">
      <c r="R3285" s="10">
        <v>3257</v>
      </c>
    </row>
    <row r="3286" spans="18:18" ht="13.8">
      <c r="R3286" s="10">
        <v>3258</v>
      </c>
    </row>
    <row r="3287" spans="18:18" ht="13.8">
      <c r="R3287" s="10">
        <v>3259</v>
      </c>
    </row>
    <row r="3288" spans="18:18" ht="13.8">
      <c r="R3288" s="10">
        <v>3260</v>
      </c>
    </row>
    <row r="3289" spans="18:18" ht="13.8">
      <c r="R3289" s="10">
        <v>3261</v>
      </c>
    </row>
    <row r="3290" spans="18:18" ht="13.8">
      <c r="R3290" s="10">
        <v>3262</v>
      </c>
    </row>
    <row r="3291" spans="18:18" ht="13.8">
      <c r="R3291" s="10">
        <v>3263</v>
      </c>
    </row>
    <row r="3292" spans="18:18" ht="13.8">
      <c r="R3292" s="10">
        <v>3264</v>
      </c>
    </row>
    <row r="3293" spans="18:18" ht="13.8">
      <c r="R3293" s="10">
        <v>3265</v>
      </c>
    </row>
    <row r="3294" spans="18:18" ht="13.8">
      <c r="R3294" s="10">
        <v>3266</v>
      </c>
    </row>
    <row r="3295" spans="18:18" ht="13.8">
      <c r="R3295" s="10">
        <v>3267</v>
      </c>
    </row>
    <row r="3296" spans="18:18" ht="13.8">
      <c r="R3296" s="10">
        <v>3268</v>
      </c>
    </row>
    <row r="3297" spans="18:18" ht="13.8">
      <c r="R3297" s="10">
        <v>3269</v>
      </c>
    </row>
    <row r="3298" spans="18:18" ht="13.8">
      <c r="R3298" s="10">
        <v>3270</v>
      </c>
    </row>
    <row r="3299" spans="18:18" ht="13.8">
      <c r="R3299" s="10">
        <v>3271</v>
      </c>
    </row>
    <row r="3300" spans="18:18" ht="13.8">
      <c r="R3300" s="10">
        <v>3272</v>
      </c>
    </row>
    <row r="3301" spans="18:18" ht="13.8">
      <c r="R3301" s="10">
        <v>3273</v>
      </c>
    </row>
    <row r="3302" spans="18:18" ht="13.8">
      <c r="R3302" s="10">
        <v>3274</v>
      </c>
    </row>
    <row r="3303" spans="18:18" ht="13.8">
      <c r="R3303" s="10">
        <v>3275</v>
      </c>
    </row>
    <row r="3304" spans="18:18" ht="13.8">
      <c r="R3304" s="10">
        <v>3276</v>
      </c>
    </row>
    <row r="3305" spans="18:18" ht="13.8">
      <c r="R3305" s="10">
        <v>3277</v>
      </c>
    </row>
    <row r="3306" spans="18:18" ht="13.8">
      <c r="R3306" s="10">
        <v>3278</v>
      </c>
    </row>
    <row r="3307" spans="18:18" ht="13.8">
      <c r="R3307" s="10">
        <v>3279</v>
      </c>
    </row>
    <row r="3308" spans="18:18" ht="13.8">
      <c r="R3308" s="10">
        <v>3280</v>
      </c>
    </row>
    <row r="3309" spans="18:18" ht="13.8">
      <c r="R3309" s="10">
        <v>3281</v>
      </c>
    </row>
    <row r="3310" spans="18:18" ht="13.8">
      <c r="R3310" s="10">
        <v>3282</v>
      </c>
    </row>
    <row r="3311" spans="18:18" ht="13.8">
      <c r="R3311" s="10">
        <v>3283</v>
      </c>
    </row>
    <row r="3312" spans="18:18" ht="13.8">
      <c r="R3312" s="10">
        <v>3284</v>
      </c>
    </row>
    <row r="3313" spans="18:18" ht="13.8">
      <c r="R3313" s="10">
        <v>3285</v>
      </c>
    </row>
    <row r="3314" spans="18:18" ht="13.8">
      <c r="R3314" s="10">
        <v>3286</v>
      </c>
    </row>
    <row r="3315" spans="18:18" ht="13.8">
      <c r="R3315" s="10">
        <v>3287</v>
      </c>
    </row>
    <row r="3316" spans="18:18" ht="13.8">
      <c r="R3316" s="10">
        <v>3288</v>
      </c>
    </row>
    <row r="3317" spans="18:18" ht="13.8">
      <c r="R3317" s="10">
        <v>3289</v>
      </c>
    </row>
    <row r="3318" spans="18:18" ht="13.8">
      <c r="R3318" s="10">
        <v>3290</v>
      </c>
    </row>
    <row r="3319" spans="18:18" ht="13.8">
      <c r="R3319" s="10">
        <v>3291</v>
      </c>
    </row>
    <row r="3320" spans="18:18" ht="13.8">
      <c r="R3320" s="10">
        <v>3292</v>
      </c>
    </row>
    <row r="3321" spans="18:18" ht="13.8">
      <c r="R3321" s="10">
        <v>3293</v>
      </c>
    </row>
    <row r="3322" spans="18:18" ht="13.8">
      <c r="R3322" s="10">
        <v>3294</v>
      </c>
    </row>
    <row r="3323" spans="18:18" ht="13.8">
      <c r="R3323" s="10">
        <v>3295</v>
      </c>
    </row>
    <row r="3324" spans="18:18" ht="13.8">
      <c r="R3324" s="10">
        <v>3296</v>
      </c>
    </row>
    <row r="3325" spans="18:18" ht="13.8">
      <c r="R3325" s="10">
        <v>3297</v>
      </c>
    </row>
    <row r="3326" spans="18:18" ht="13.8">
      <c r="R3326" s="10">
        <v>3298</v>
      </c>
    </row>
    <row r="3327" spans="18:18" ht="13.8">
      <c r="R3327" s="10">
        <v>3299</v>
      </c>
    </row>
    <row r="3328" spans="18:18" ht="13.8">
      <c r="R3328" s="10">
        <v>3300</v>
      </c>
    </row>
    <row r="3329" spans="18:18" ht="13.8">
      <c r="R3329" s="10">
        <v>3301</v>
      </c>
    </row>
    <row r="3330" spans="18:18" ht="13.8">
      <c r="R3330" s="10">
        <v>3302</v>
      </c>
    </row>
    <row r="3331" spans="18:18" ht="13.8">
      <c r="R3331" s="10">
        <v>3303</v>
      </c>
    </row>
    <row r="3332" spans="18:18" ht="13.8">
      <c r="R3332" s="10">
        <v>3304</v>
      </c>
    </row>
    <row r="3333" spans="18:18" ht="13.8">
      <c r="R3333" s="10">
        <v>3305</v>
      </c>
    </row>
    <row r="3334" spans="18:18" ht="13.8">
      <c r="R3334" s="10">
        <v>3306</v>
      </c>
    </row>
    <row r="3335" spans="18:18" ht="13.8">
      <c r="R3335" s="10">
        <v>3307</v>
      </c>
    </row>
    <row r="3336" spans="18:18" ht="13.8">
      <c r="R3336" s="10">
        <v>3308</v>
      </c>
    </row>
    <row r="3337" spans="18:18" ht="13.8">
      <c r="R3337" s="10">
        <v>3309</v>
      </c>
    </row>
    <row r="3338" spans="18:18" ht="13.8">
      <c r="R3338" s="10">
        <v>3310</v>
      </c>
    </row>
    <row r="3339" spans="18:18" ht="13.8">
      <c r="R3339" s="10">
        <v>3311</v>
      </c>
    </row>
    <row r="3340" spans="18:18" ht="13.8">
      <c r="R3340" s="10">
        <v>3312</v>
      </c>
    </row>
    <row r="3341" spans="18:18" ht="13.8">
      <c r="R3341" s="10">
        <v>3313</v>
      </c>
    </row>
    <row r="3342" spans="18:18" ht="13.8">
      <c r="R3342" s="10">
        <v>3314</v>
      </c>
    </row>
    <row r="3343" spans="18:18" ht="13.8">
      <c r="R3343" s="10">
        <v>3315</v>
      </c>
    </row>
    <row r="3344" spans="18:18" ht="13.8">
      <c r="R3344" s="10">
        <v>3316</v>
      </c>
    </row>
    <row r="3345" spans="18:18" ht="13.8">
      <c r="R3345" s="10">
        <v>3317</v>
      </c>
    </row>
    <row r="3346" spans="18:18" ht="13.8">
      <c r="R3346" s="10">
        <v>3318</v>
      </c>
    </row>
    <row r="3347" spans="18:18" ht="13.8">
      <c r="R3347" s="10">
        <v>3319</v>
      </c>
    </row>
    <row r="3348" spans="18:18" ht="13.8">
      <c r="R3348" s="10">
        <v>3320</v>
      </c>
    </row>
    <row r="3349" spans="18:18" ht="13.8">
      <c r="R3349" s="10">
        <v>3321</v>
      </c>
    </row>
    <row r="3350" spans="18:18" ht="13.8">
      <c r="R3350" s="10">
        <v>3322</v>
      </c>
    </row>
    <row r="3351" spans="18:18" ht="13.8">
      <c r="R3351" s="10">
        <v>3323</v>
      </c>
    </row>
    <row r="3352" spans="18:18" ht="13.8">
      <c r="R3352" s="10">
        <v>3324</v>
      </c>
    </row>
    <row r="3353" spans="18:18" ht="13.8">
      <c r="R3353" s="10">
        <v>3325</v>
      </c>
    </row>
    <row r="3354" spans="18:18" ht="13.8">
      <c r="R3354" s="10">
        <v>3326</v>
      </c>
    </row>
    <row r="3355" spans="18:18" ht="13.8">
      <c r="R3355" s="10">
        <v>3327</v>
      </c>
    </row>
    <row r="3356" spans="18:18" ht="13.8">
      <c r="R3356" s="10">
        <v>3328</v>
      </c>
    </row>
    <row r="3357" spans="18:18" ht="13.8">
      <c r="R3357" s="10">
        <v>3329</v>
      </c>
    </row>
    <row r="3358" spans="18:18" ht="13.8">
      <c r="R3358" s="10">
        <v>3330</v>
      </c>
    </row>
    <row r="3359" spans="18:18" ht="13.8">
      <c r="R3359" s="10">
        <v>3331</v>
      </c>
    </row>
    <row r="3360" spans="18:18" ht="13.8">
      <c r="R3360" s="10">
        <v>3332</v>
      </c>
    </row>
    <row r="3361" spans="18:18" ht="13.8">
      <c r="R3361" s="10">
        <v>3333</v>
      </c>
    </row>
    <row r="3362" spans="18:18" ht="13.8">
      <c r="R3362" s="10">
        <v>3334</v>
      </c>
    </row>
    <row r="3363" spans="18:18" ht="13.8">
      <c r="R3363" s="10">
        <v>3335</v>
      </c>
    </row>
    <row r="3364" spans="18:18" ht="13.8">
      <c r="R3364" s="10">
        <v>3336</v>
      </c>
    </row>
    <row r="3365" spans="18:18" ht="13.8">
      <c r="R3365" s="10">
        <v>3337</v>
      </c>
    </row>
    <row r="3366" spans="18:18" ht="13.8">
      <c r="R3366" s="10">
        <v>3338</v>
      </c>
    </row>
    <row r="3367" spans="18:18" ht="13.8">
      <c r="R3367" s="10">
        <v>3339</v>
      </c>
    </row>
    <row r="3368" spans="18:18" ht="13.8">
      <c r="R3368" s="10">
        <v>3340</v>
      </c>
    </row>
    <row r="3369" spans="18:18" ht="13.8">
      <c r="R3369" s="10">
        <v>3341</v>
      </c>
    </row>
    <row r="3370" spans="18:18" ht="13.8">
      <c r="R3370" s="10">
        <v>3342</v>
      </c>
    </row>
    <row r="3371" spans="18:18" ht="13.8">
      <c r="R3371" s="10">
        <v>3343</v>
      </c>
    </row>
    <row r="3372" spans="18:18" ht="13.8">
      <c r="R3372" s="10">
        <v>3344</v>
      </c>
    </row>
    <row r="3373" spans="18:18" ht="13.8">
      <c r="R3373" s="10">
        <v>3345</v>
      </c>
    </row>
    <row r="3374" spans="18:18" ht="13.8">
      <c r="R3374" s="10">
        <v>3346</v>
      </c>
    </row>
    <row r="3375" spans="18:18" ht="13.8">
      <c r="R3375" s="10">
        <v>3347</v>
      </c>
    </row>
    <row r="3376" spans="18:18" ht="13.8">
      <c r="R3376" s="10">
        <v>3348</v>
      </c>
    </row>
    <row r="3377" spans="18:18" ht="13.8">
      <c r="R3377" s="10">
        <v>3349</v>
      </c>
    </row>
    <row r="3378" spans="18:18" ht="13.8">
      <c r="R3378" s="10">
        <v>3350</v>
      </c>
    </row>
    <row r="3379" spans="18:18" ht="13.8">
      <c r="R3379" s="10">
        <v>3351</v>
      </c>
    </row>
    <row r="3380" spans="18:18" ht="13.8">
      <c r="R3380" s="10">
        <v>3352</v>
      </c>
    </row>
    <row r="3381" spans="18:18" ht="13.8">
      <c r="R3381" s="10">
        <v>3353</v>
      </c>
    </row>
    <row r="3382" spans="18:18" ht="13.8">
      <c r="R3382" s="10">
        <v>3354</v>
      </c>
    </row>
    <row r="3383" spans="18:18" ht="13.8">
      <c r="R3383" s="10">
        <v>3355</v>
      </c>
    </row>
    <row r="3384" spans="18:18" ht="13.8">
      <c r="R3384" s="10">
        <v>3356</v>
      </c>
    </row>
    <row r="3385" spans="18:18" ht="13.8">
      <c r="R3385" s="10">
        <v>3357</v>
      </c>
    </row>
    <row r="3386" spans="18:18" ht="13.8">
      <c r="R3386" s="10">
        <v>3358</v>
      </c>
    </row>
    <row r="3387" spans="18:18" ht="13.8">
      <c r="R3387" s="10">
        <v>3359</v>
      </c>
    </row>
    <row r="3388" spans="18:18" ht="13.8">
      <c r="R3388" s="10">
        <v>3360</v>
      </c>
    </row>
    <row r="3389" spans="18:18" ht="13.8">
      <c r="R3389" s="10">
        <v>3361</v>
      </c>
    </row>
    <row r="3390" spans="18:18" ht="13.8">
      <c r="R3390" s="10">
        <v>3362</v>
      </c>
    </row>
    <row r="3391" spans="18:18" ht="13.8">
      <c r="R3391" s="10">
        <v>3363</v>
      </c>
    </row>
    <row r="3392" spans="18:18" ht="13.8">
      <c r="R3392" s="10">
        <v>3364</v>
      </c>
    </row>
    <row r="3393" spans="18:18" ht="13.8">
      <c r="R3393" s="10">
        <v>3365</v>
      </c>
    </row>
    <row r="3394" spans="18:18" ht="13.8">
      <c r="R3394" s="10">
        <v>3366</v>
      </c>
    </row>
    <row r="3395" spans="18:18" ht="13.8">
      <c r="R3395" s="10">
        <v>3367</v>
      </c>
    </row>
    <row r="3396" spans="18:18" ht="13.8">
      <c r="R3396" s="10">
        <v>3368</v>
      </c>
    </row>
    <row r="3397" spans="18:18" ht="13.8">
      <c r="R3397" s="10">
        <v>3369</v>
      </c>
    </row>
    <row r="3398" spans="18:18" ht="13.8">
      <c r="R3398" s="10">
        <v>3370</v>
      </c>
    </row>
    <row r="3399" spans="18:18" ht="13.8">
      <c r="R3399" s="10">
        <v>3371</v>
      </c>
    </row>
    <row r="3400" spans="18:18" ht="13.8">
      <c r="R3400" s="10">
        <v>3372</v>
      </c>
    </row>
    <row r="3401" spans="18:18" ht="13.8">
      <c r="R3401" s="10">
        <v>3373</v>
      </c>
    </row>
    <row r="3402" spans="18:18" ht="13.8">
      <c r="R3402" s="10">
        <v>3374</v>
      </c>
    </row>
    <row r="3403" spans="18:18" ht="13.8">
      <c r="R3403" s="10">
        <v>3375</v>
      </c>
    </row>
    <row r="3404" spans="18:18" ht="13.8">
      <c r="R3404" s="10">
        <v>3376</v>
      </c>
    </row>
    <row r="3405" spans="18:18" ht="13.8">
      <c r="R3405" s="10">
        <v>3377</v>
      </c>
    </row>
    <row r="3406" spans="18:18" ht="13.8">
      <c r="R3406" s="10">
        <v>3378</v>
      </c>
    </row>
    <row r="3407" spans="18:18" ht="13.8">
      <c r="R3407" s="10">
        <v>3379</v>
      </c>
    </row>
    <row r="3408" spans="18:18" ht="13.8">
      <c r="R3408" s="10">
        <v>3380</v>
      </c>
    </row>
    <row r="3409" spans="18:18" ht="13.8">
      <c r="R3409" s="10">
        <v>3381</v>
      </c>
    </row>
    <row r="3410" spans="18:18" ht="13.8">
      <c r="R3410" s="10">
        <v>3382</v>
      </c>
    </row>
    <row r="3411" spans="18:18" ht="13.8">
      <c r="R3411" s="10">
        <v>3383</v>
      </c>
    </row>
    <row r="3412" spans="18:18" ht="13.8">
      <c r="R3412" s="10">
        <v>3384</v>
      </c>
    </row>
    <row r="3413" spans="18:18" ht="13.8">
      <c r="R3413" s="10">
        <v>3385</v>
      </c>
    </row>
    <row r="3414" spans="18:18" ht="13.8">
      <c r="R3414" s="10">
        <v>3386</v>
      </c>
    </row>
    <row r="3415" spans="18:18" ht="13.8">
      <c r="R3415" s="10">
        <v>3387</v>
      </c>
    </row>
    <row r="3416" spans="18:18" ht="13.8">
      <c r="R3416" s="10">
        <v>3388</v>
      </c>
    </row>
    <row r="3417" spans="18:18" ht="13.8">
      <c r="R3417" s="10">
        <v>3389</v>
      </c>
    </row>
    <row r="3418" spans="18:18" ht="13.8">
      <c r="R3418" s="10">
        <v>3390</v>
      </c>
    </row>
    <row r="3419" spans="18:18" ht="13.8">
      <c r="R3419" s="10">
        <v>3391</v>
      </c>
    </row>
    <row r="3420" spans="18:18" ht="13.8">
      <c r="R3420" s="10">
        <v>3392</v>
      </c>
    </row>
    <row r="3421" spans="18:18" ht="13.8">
      <c r="R3421" s="10">
        <v>3393</v>
      </c>
    </row>
    <row r="3422" spans="18:18" ht="13.8">
      <c r="R3422" s="10">
        <v>3394</v>
      </c>
    </row>
    <row r="3423" spans="18:18" ht="13.8">
      <c r="R3423" s="10">
        <v>3395</v>
      </c>
    </row>
    <row r="3424" spans="18:18" ht="13.8">
      <c r="R3424" s="10">
        <v>3396</v>
      </c>
    </row>
    <row r="3425" spans="18:18" ht="13.8">
      <c r="R3425" s="10">
        <v>3397</v>
      </c>
    </row>
    <row r="3426" spans="18:18" ht="13.8">
      <c r="R3426" s="10">
        <v>3398</v>
      </c>
    </row>
    <row r="3427" spans="18:18" ht="13.8">
      <c r="R3427" s="10">
        <v>3399</v>
      </c>
    </row>
    <row r="3428" spans="18:18" ht="13.8">
      <c r="R3428" s="10">
        <v>3400</v>
      </c>
    </row>
    <row r="3429" spans="18:18" ht="13.8">
      <c r="R3429" s="10">
        <v>3401</v>
      </c>
    </row>
    <row r="3430" spans="18:18" ht="13.8">
      <c r="R3430" s="10">
        <v>3402</v>
      </c>
    </row>
    <row r="3431" spans="18:18" ht="13.8">
      <c r="R3431" s="10">
        <v>3403</v>
      </c>
    </row>
    <row r="3432" spans="18:18" ht="13.8">
      <c r="R3432" s="10">
        <v>3404</v>
      </c>
    </row>
    <row r="3433" spans="18:18" ht="13.8">
      <c r="R3433" s="10">
        <v>3405</v>
      </c>
    </row>
    <row r="3434" spans="18:18" ht="13.8">
      <c r="R3434" s="10">
        <v>3406</v>
      </c>
    </row>
    <row r="3435" spans="18:18" ht="13.8">
      <c r="R3435" s="10">
        <v>3407</v>
      </c>
    </row>
    <row r="3436" spans="18:18" ht="13.8">
      <c r="R3436" s="10">
        <v>3408</v>
      </c>
    </row>
    <row r="3437" spans="18:18" ht="13.8">
      <c r="R3437" s="10">
        <v>3409</v>
      </c>
    </row>
    <row r="3438" spans="18:18" ht="13.8">
      <c r="R3438" s="10">
        <v>3410</v>
      </c>
    </row>
    <row r="3439" spans="18:18" ht="13.8">
      <c r="R3439" s="10">
        <v>3411</v>
      </c>
    </row>
    <row r="3440" spans="18:18" ht="13.8">
      <c r="R3440" s="10">
        <v>3412</v>
      </c>
    </row>
    <row r="3441" spans="18:18" ht="13.8">
      <c r="R3441" s="10">
        <v>3413</v>
      </c>
    </row>
    <row r="3442" spans="18:18" ht="13.8">
      <c r="R3442" s="10">
        <v>3414</v>
      </c>
    </row>
    <row r="3443" spans="18:18" ht="13.8">
      <c r="R3443" s="10">
        <v>3415</v>
      </c>
    </row>
    <row r="3444" spans="18:18" ht="13.8">
      <c r="R3444" s="10">
        <v>3416</v>
      </c>
    </row>
    <row r="3445" spans="18:18" ht="13.8">
      <c r="R3445" s="10">
        <v>3417</v>
      </c>
    </row>
    <row r="3446" spans="18:18" ht="13.8">
      <c r="R3446" s="10">
        <v>3418</v>
      </c>
    </row>
    <row r="3447" spans="18:18" ht="13.8">
      <c r="R3447" s="10">
        <v>3419</v>
      </c>
    </row>
    <row r="3448" spans="18:18" ht="13.8">
      <c r="R3448" s="10">
        <v>3420</v>
      </c>
    </row>
    <row r="3449" spans="18:18" ht="13.8">
      <c r="R3449" s="10">
        <v>3421</v>
      </c>
    </row>
    <row r="3450" spans="18:18" ht="13.8">
      <c r="R3450" s="10">
        <v>3422</v>
      </c>
    </row>
    <row r="3451" spans="18:18" ht="13.8">
      <c r="R3451" s="10">
        <v>3423</v>
      </c>
    </row>
    <row r="3452" spans="18:18" ht="13.8">
      <c r="R3452" s="10">
        <v>3424</v>
      </c>
    </row>
    <row r="3453" spans="18:18" ht="13.8">
      <c r="R3453" s="10">
        <v>3425</v>
      </c>
    </row>
    <row r="3454" spans="18:18" ht="13.8">
      <c r="R3454" s="10">
        <v>3426</v>
      </c>
    </row>
    <row r="3455" spans="18:18" ht="13.8">
      <c r="R3455" s="10">
        <v>3427</v>
      </c>
    </row>
    <row r="3456" spans="18:18" ht="13.8">
      <c r="R3456" s="10">
        <v>3428</v>
      </c>
    </row>
    <row r="3457" spans="18:18" ht="13.8">
      <c r="R3457" s="10">
        <v>3429</v>
      </c>
    </row>
    <row r="3458" spans="18:18" ht="13.8">
      <c r="R3458" s="10">
        <v>3430</v>
      </c>
    </row>
    <row r="3459" spans="18:18" ht="13.8">
      <c r="R3459" s="10">
        <v>3431</v>
      </c>
    </row>
    <row r="3460" spans="18:18" ht="13.8">
      <c r="R3460" s="10">
        <v>3432</v>
      </c>
    </row>
    <row r="3461" spans="18:18" ht="13.8">
      <c r="R3461" s="10">
        <v>3433</v>
      </c>
    </row>
    <row r="3462" spans="18:18" ht="13.8">
      <c r="R3462" s="10">
        <v>3434</v>
      </c>
    </row>
    <row r="3463" spans="18:18" ht="13.8">
      <c r="R3463" s="10">
        <v>3435</v>
      </c>
    </row>
    <row r="3464" spans="18:18" ht="13.8">
      <c r="R3464" s="10">
        <v>3436</v>
      </c>
    </row>
    <row r="3465" spans="18:18" ht="13.8">
      <c r="R3465" s="10">
        <v>3437</v>
      </c>
    </row>
    <row r="3466" spans="18:18" ht="13.8">
      <c r="R3466" s="10">
        <v>3438</v>
      </c>
    </row>
    <row r="3467" spans="18:18" ht="13.8">
      <c r="R3467" s="10">
        <v>3439</v>
      </c>
    </row>
    <row r="3468" spans="18:18" ht="13.8">
      <c r="R3468" s="10">
        <v>3440</v>
      </c>
    </row>
    <row r="3469" spans="18:18" ht="13.8">
      <c r="R3469" s="10">
        <v>3441</v>
      </c>
    </row>
    <row r="3470" spans="18:18" ht="13.8">
      <c r="R3470" s="10">
        <v>3442</v>
      </c>
    </row>
    <row r="3471" spans="18:18" ht="13.8">
      <c r="R3471" s="10">
        <v>3443</v>
      </c>
    </row>
    <row r="3472" spans="18:18" ht="13.8">
      <c r="R3472" s="10">
        <v>3444</v>
      </c>
    </row>
    <row r="3473" spans="18:18" ht="13.8">
      <c r="R3473" s="10">
        <v>3445</v>
      </c>
    </row>
    <row r="3474" spans="18:18" ht="13.8">
      <c r="R3474" s="10">
        <v>3446</v>
      </c>
    </row>
    <row r="3475" spans="18:18" ht="13.8">
      <c r="R3475" s="10">
        <v>3447</v>
      </c>
    </row>
    <row r="3476" spans="18:18" ht="13.8">
      <c r="R3476" s="10">
        <v>3448</v>
      </c>
    </row>
    <row r="3477" spans="18:18" ht="13.8">
      <c r="R3477" s="10">
        <v>3449</v>
      </c>
    </row>
    <row r="3478" spans="18:18" ht="13.8">
      <c r="R3478" s="10">
        <v>3450</v>
      </c>
    </row>
    <row r="3479" spans="18:18" ht="13.8">
      <c r="R3479" s="10">
        <v>3451</v>
      </c>
    </row>
    <row r="3480" spans="18:18" ht="13.8">
      <c r="R3480" s="10">
        <v>3452</v>
      </c>
    </row>
    <row r="3481" spans="18:18" ht="13.8">
      <c r="R3481" s="10">
        <v>3453</v>
      </c>
    </row>
    <row r="3482" spans="18:18" ht="13.8">
      <c r="R3482" s="10">
        <v>3454</v>
      </c>
    </row>
    <row r="3483" spans="18:18" ht="13.8">
      <c r="R3483" s="10">
        <v>3455</v>
      </c>
    </row>
    <row r="3484" spans="18:18" ht="13.8">
      <c r="R3484" s="10">
        <v>3456</v>
      </c>
    </row>
    <row r="3485" spans="18:18" ht="13.8">
      <c r="R3485" s="10">
        <v>3457</v>
      </c>
    </row>
    <row r="3486" spans="18:18" ht="13.8">
      <c r="R3486" s="10">
        <v>3458</v>
      </c>
    </row>
    <row r="3487" spans="18:18" ht="13.8">
      <c r="R3487" s="10">
        <v>3459</v>
      </c>
    </row>
    <row r="3488" spans="18:18" ht="13.8">
      <c r="R3488" s="10">
        <v>3460</v>
      </c>
    </row>
    <row r="3489" spans="18:18" ht="13.8">
      <c r="R3489" s="10">
        <v>3461</v>
      </c>
    </row>
    <row r="3490" spans="18:18" ht="13.8">
      <c r="R3490" s="10">
        <v>3462</v>
      </c>
    </row>
    <row r="3491" spans="18:18" ht="13.8">
      <c r="R3491" s="10">
        <v>3463</v>
      </c>
    </row>
    <row r="3492" spans="18:18" ht="13.8">
      <c r="R3492" s="10">
        <v>3464</v>
      </c>
    </row>
    <row r="3493" spans="18:18" ht="13.8">
      <c r="R3493" s="10">
        <v>3465</v>
      </c>
    </row>
    <row r="3494" spans="18:18" ht="13.8">
      <c r="R3494" s="10">
        <v>3466</v>
      </c>
    </row>
    <row r="3495" spans="18:18" ht="13.8">
      <c r="R3495" s="10">
        <v>3467</v>
      </c>
    </row>
    <row r="3496" spans="18:18" ht="13.8">
      <c r="R3496" s="10">
        <v>3468</v>
      </c>
    </row>
    <row r="3497" spans="18:18" ht="13.8">
      <c r="R3497" s="10">
        <v>3469</v>
      </c>
    </row>
    <row r="3498" spans="18:18" ht="13.8">
      <c r="R3498" s="10">
        <v>3470</v>
      </c>
    </row>
    <row r="3499" spans="18:18" ht="13.8">
      <c r="R3499" s="10">
        <v>3471</v>
      </c>
    </row>
    <row r="3500" spans="18:18" ht="13.8">
      <c r="R3500" s="10">
        <v>3472</v>
      </c>
    </row>
    <row r="3501" spans="18:18" ht="13.8">
      <c r="R3501" s="10">
        <v>3473</v>
      </c>
    </row>
    <row r="3502" spans="18:18" ht="13.8">
      <c r="R3502" s="10">
        <v>3474</v>
      </c>
    </row>
    <row r="3503" spans="18:18" ht="13.8">
      <c r="R3503" s="10">
        <v>3475</v>
      </c>
    </row>
    <row r="3504" spans="18:18" ht="13.8">
      <c r="R3504" s="10">
        <v>3476</v>
      </c>
    </row>
    <row r="3505" spans="18:18" ht="13.8">
      <c r="R3505" s="10">
        <v>3477</v>
      </c>
    </row>
    <row r="3506" spans="18:18" ht="13.8">
      <c r="R3506" s="10">
        <v>3478</v>
      </c>
    </row>
    <row r="3507" spans="18:18" ht="13.8">
      <c r="R3507" s="10">
        <v>3479</v>
      </c>
    </row>
    <row r="3508" spans="18:18" ht="13.8">
      <c r="R3508" s="10">
        <v>3480</v>
      </c>
    </row>
    <row r="3509" spans="18:18" ht="13.8">
      <c r="R3509" s="10">
        <v>3481</v>
      </c>
    </row>
    <row r="3510" spans="18:18" ht="13.8">
      <c r="R3510" s="10">
        <v>3482</v>
      </c>
    </row>
    <row r="3511" spans="18:18" ht="13.8">
      <c r="R3511" s="10">
        <v>3483</v>
      </c>
    </row>
    <row r="3512" spans="18:18" ht="13.8">
      <c r="R3512" s="10">
        <v>3484</v>
      </c>
    </row>
    <row r="3513" spans="18:18" ht="13.8">
      <c r="R3513" s="10">
        <v>3485</v>
      </c>
    </row>
    <row r="3514" spans="18:18" ht="13.8">
      <c r="R3514" s="10">
        <v>3486</v>
      </c>
    </row>
    <row r="3515" spans="18:18" ht="13.8">
      <c r="R3515" s="10">
        <v>3487</v>
      </c>
    </row>
    <row r="3516" spans="18:18" ht="13.8">
      <c r="R3516" s="10">
        <v>3488</v>
      </c>
    </row>
    <row r="3517" spans="18:18" ht="13.8">
      <c r="R3517" s="10">
        <v>3489</v>
      </c>
    </row>
    <row r="3518" spans="18:18" ht="13.8">
      <c r="R3518" s="10">
        <v>3490</v>
      </c>
    </row>
    <row r="3519" spans="18:18" ht="13.8">
      <c r="R3519" s="10">
        <v>3491</v>
      </c>
    </row>
    <row r="3520" spans="18:18" ht="13.8">
      <c r="R3520" s="10">
        <v>3492</v>
      </c>
    </row>
    <row r="3521" spans="18:18" ht="13.8">
      <c r="R3521" s="10">
        <v>3493</v>
      </c>
    </row>
    <row r="3522" spans="18:18" ht="13.8">
      <c r="R3522" s="10">
        <v>3494</v>
      </c>
    </row>
    <row r="3523" spans="18:18" ht="13.8">
      <c r="R3523" s="10">
        <v>3495</v>
      </c>
    </row>
    <row r="3524" spans="18:18" ht="13.8">
      <c r="R3524" s="10">
        <v>3496</v>
      </c>
    </row>
    <row r="3525" spans="18:18" ht="13.8">
      <c r="R3525" s="10">
        <v>3497</v>
      </c>
    </row>
    <row r="3526" spans="18:18" ht="13.8">
      <c r="R3526" s="10">
        <v>3498</v>
      </c>
    </row>
    <row r="3527" spans="18:18" ht="13.8">
      <c r="R3527" s="10">
        <v>3499</v>
      </c>
    </row>
    <row r="3528" spans="18:18" ht="13.8">
      <c r="R3528" s="10">
        <v>3500</v>
      </c>
    </row>
    <row r="3529" spans="18:18" ht="13.8">
      <c r="R3529" s="10">
        <v>3501</v>
      </c>
    </row>
    <row r="3530" spans="18:18" ht="13.8">
      <c r="R3530" s="10">
        <v>3502</v>
      </c>
    </row>
    <row r="3531" spans="18:18" ht="13.8">
      <c r="R3531" s="10">
        <v>3503</v>
      </c>
    </row>
    <row r="3532" spans="18:18" ht="13.8">
      <c r="R3532" s="10">
        <v>3504</v>
      </c>
    </row>
    <row r="3533" spans="18:18" ht="13.8">
      <c r="R3533" s="10">
        <v>3505</v>
      </c>
    </row>
    <row r="3534" spans="18:18" ht="13.8">
      <c r="R3534" s="10">
        <v>3506</v>
      </c>
    </row>
    <row r="3535" spans="18:18" ht="13.8">
      <c r="R3535" s="10">
        <v>3507</v>
      </c>
    </row>
    <row r="3536" spans="18:18" ht="13.8">
      <c r="R3536" s="10">
        <v>3508</v>
      </c>
    </row>
    <row r="3537" spans="18:18" ht="13.8">
      <c r="R3537" s="10">
        <v>3509</v>
      </c>
    </row>
    <row r="3538" spans="18:18" ht="13.8">
      <c r="R3538" s="10">
        <v>3510</v>
      </c>
    </row>
    <row r="3539" spans="18:18" ht="13.8">
      <c r="R3539" s="10">
        <v>3511</v>
      </c>
    </row>
    <row r="3540" spans="18:18" ht="13.8">
      <c r="R3540" s="10">
        <v>3512</v>
      </c>
    </row>
    <row r="3541" spans="18:18" ht="13.8">
      <c r="R3541" s="10">
        <v>3513</v>
      </c>
    </row>
    <row r="3542" spans="18:18" ht="13.8">
      <c r="R3542" s="10">
        <v>3514</v>
      </c>
    </row>
    <row r="3543" spans="18:18" ht="13.8">
      <c r="R3543" s="10">
        <v>3515</v>
      </c>
    </row>
    <row r="3544" spans="18:18" ht="13.8">
      <c r="R3544" s="10">
        <v>3516</v>
      </c>
    </row>
    <row r="3545" spans="18:18" ht="13.8">
      <c r="R3545" s="10">
        <v>3517</v>
      </c>
    </row>
    <row r="3546" spans="18:18" ht="13.8">
      <c r="R3546" s="10">
        <v>3518</v>
      </c>
    </row>
    <row r="3547" spans="18:18" ht="13.8">
      <c r="R3547" s="10">
        <v>3519</v>
      </c>
    </row>
    <row r="3548" spans="18:18" ht="13.8">
      <c r="R3548" s="10">
        <v>3520</v>
      </c>
    </row>
    <row r="3549" spans="18:18" ht="13.8">
      <c r="R3549" s="10">
        <v>3521</v>
      </c>
    </row>
    <row r="3550" spans="18:18" ht="13.8">
      <c r="R3550" s="10">
        <v>3522</v>
      </c>
    </row>
    <row r="3551" spans="18:18" ht="13.8">
      <c r="R3551" s="10">
        <v>3523</v>
      </c>
    </row>
    <row r="3552" spans="18:18" ht="13.8">
      <c r="R3552" s="10">
        <v>3524</v>
      </c>
    </row>
    <row r="3553" spans="18:18" ht="13.8">
      <c r="R3553" s="10">
        <v>3525</v>
      </c>
    </row>
    <row r="3554" spans="18:18" ht="13.8">
      <c r="R3554" s="10">
        <v>3526</v>
      </c>
    </row>
    <row r="3555" spans="18:18" ht="13.8">
      <c r="R3555" s="10">
        <v>3527</v>
      </c>
    </row>
    <row r="3556" spans="18:18" ht="13.8">
      <c r="R3556" s="10">
        <v>3528</v>
      </c>
    </row>
    <row r="3557" spans="18:18" ht="13.8">
      <c r="R3557" s="10">
        <v>3529</v>
      </c>
    </row>
    <row r="3558" spans="18:18" ht="13.8">
      <c r="R3558" s="10">
        <v>3530</v>
      </c>
    </row>
    <row r="3559" spans="18:18" ht="13.8">
      <c r="R3559" s="10">
        <v>3531</v>
      </c>
    </row>
    <row r="3560" spans="18:18" ht="13.8">
      <c r="R3560" s="10">
        <v>3532</v>
      </c>
    </row>
    <row r="3561" spans="18:18" ht="13.8">
      <c r="R3561" s="10">
        <v>3533</v>
      </c>
    </row>
    <row r="3562" spans="18:18" ht="13.8">
      <c r="R3562" s="10">
        <v>3534</v>
      </c>
    </row>
    <row r="3563" spans="18:18" ht="13.8">
      <c r="R3563" s="10">
        <v>3535</v>
      </c>
    </row>
    <row r="3564" spans="18:18" ht="13.8">
      <c r="R3564" s="10">
        <v>3536</v>
      </c>
    </row>
    <row r="3565" spans="18:18" ht="13.8">
      <c r="R3565" s="10">
        <v>3537</v>
      </c>
    </row>
    <row r="3566" spans="18:18" ht="13.8">
      <c r="R3566" s="10">
        <v>3538</v>
      </c>
    </row>
    <row r="3567" spans="18:18" ht="13.8">
      <c r="R3567" s="10">
        <v>3539</v>
      </c>
    </row>
    <row r="3568" spans="18:18" ht="13.8">
      <c r="R3568" s="10">
        <v>3540</v>
      </c>
    </row>
    <row r="3569" spans="18:18" ht="13.8">
      <c r="R3569" s="10">
        <v>3541</v>
      </c>
    </row>
    <row r="3570" spans="18:18" ht="13.8">
      <c r="R3570" s="10">
        <v>3542</v>
      </c>
    </row>
    <row r="3571" spans="18:18" ht="13.8">
      <c r="R3571" s="10">
        <v>3543</v>
      </c>
    </row>
    <row r="3572" spans="18:18" ht="13.8">
      <c r="R3572" s="10">
        <v>3544</v>
      </c>
    </row>
    <row r="3573" spans="18:18" ht="13.8">
      <c r="R3573" s="10">
        <v>3545</v>
      </c>
    </row>
    <row r="3574" spans="18:18" ht="13.8">
      <c r="R3574" s="10">
        <v>3546</v>
      </c>
    </row>
    <row r="3575" spans="18:18" ht="13.8">
      <c r="R3575" s="10">
        <v>3547</v>
      </c>
    </row>
    <row r="3576" spans="18:18" ht="13.8">
      <c r="R3576" s="10">
        <v>3548</v>
      </c>
    </row>
    <row r="3577" spans="18:18" ht="13.8">
      <c r="R3577" s="10">
        <v>3549</v>
      </c>
    </row>
    <row r="3578" spans="18:18" ht="13.8">
      <c r="R3578" s="10">
        <v>3550</v>
      </c>
    </row>
    <row r="3579" spans="18:18" ht="13.8">
      <c r="R3579" s="10">
        <v>3551</v>
      </c>
    </row>
    <row r="3580" spans="18:18" ht="13.8">
      <c r="R3580" s="10">
        <v>3552</v>
      </c>
    </row>
    <row r="3581" spans="18:18" ht="13.8">
      <c r="R3581" s="10">
        <v>3553</v>
      </c>
    </row>
    <row r="3582" spans="18:18" ht="13.8">
      <c r="R3582" s="10">
        <v>3554</v>
      </c>
    </row>
    <row r="3583" spans="18:18" ht="13.8">
      <c r="R3583" s="10">
        <v>3555</v>
      </c>
    </row>
    <row r="3584" spans="18:18" ht="13.8">
      <c r="R3584" s="10">
        <v>3556</v>
      </c>
    </row>
    <row r="3585" spans="18:18" ht="13.8">
      <c r="R3585" s="10">
        <v>3557</v>
      </c>
    </row>
    <row r="3586" spans="18:18" ht="13.8">
      <c r="R3586" s="10">
        <v>3558</v>
      </c>
    </row>
    <row r="3587" spans="18:18" ht="13.8">
      <c r="R3587" s="10">
        <v>3559</v>
      </c>
    </row>
    <row r="3588" spans="18:18" ht="13.8">
      <c r="R3588" s="10">
        <v>3560</v>
      </c>
    </row>
    <row r="3589" spans="18:18" ht="13.8">
      <c r="R3589" s="10">
        <v>3561</v>
      </c>
    </row>
    <row r="3590" spans="18:18" ht="13.8">
      <c r="R3590" s="10">
        <v>3562</v>
      </c>
    </row>
    <row r="3591" spans="18:18" ht="13.8">
      <c r="R3591" s="10">
        <v>3563</v>
      </c>
    </row>
    <row r="3592" spans="18:18" ht="13.8">
      <c r="R3592" s="10">
        <v>3564</v>
      </c>
    </row>
    <row r="3593" spans="18:18" ht="13.8">
      <c r="R3593" s="10">
        <v>3565</v>
      </c>
    </row>
    <row r="3594" spans="18:18" ht="13.8">
      <c r="R3594" s="10">
        <v>3566</v>
      </c>
    </row>
    <row r="3595" spans="18:18" ht="13.8">
      <c r="R3595" s="10">
        <v>3567</v>
      </c>
    </row>
    <row r="3596" spans="18:18" ht="13.8">
      <c r="R3596" s="10">
        <v>3568</v>
      </c>
    </row>
    <row r="3597" spans="18:18" ht="13.8">
      <c r="R3597" s="10">
        <v>3569</v>
      </c>
    </row>
    <row r="3598" spans="18:18" ht="13.8">
      <c r="R3598" s="10">
        <v>3570</v>
      </c>
    </row>
    <row r="3599" spans="18:18" ht="13.8">
      <c r="R3599" s="10">
        <v>3571</v>
      </c>
    </row>
    <row r="3600" spans="18:18" ht="13.8">
      <c r="R3600" s="10">
        <v>3572</v>
      </c>
    </row>
    <row r="3601" spans="18:18" ht="13.8">
      <c r="R3601" s="10">
        <v>3573</v>
      </c>
    </row>
    <row r="3602" spans="18:18" ht="13.8">
      <c r="R3602" s="10">
        <v>3574</v>
      </c>
    </row>
    <row r="3603" spans="18:18" ht="13.8">
      <c r="R3603" s="10">
        <v>3575</v>
      </c>
    </row>
    <row r="3604" spans="18:18" ht="13.8">
      <c r="R3604" s="10">
        <v>3576</v>
      </c>
    </row>
    <row r="3605" spans="18:18" ht="13.8">
      <c r="R3605" s="10">
        <v>3577</v>
      </c>
    </row>
    <row r="3606" spans="18:18" ht="13.8">
      <c r="R3606" s="10">
        <v>3578</v>
      </c>
    </row>
    <row r="3607" spans="18:18" ht="13.8">
      <c r="R3607" s="10">
        <v>3579</v>
      </c>
    </row>
    <row r="3608" spans="18:18" ht="13.8">
      <c r="R3608" s="10">
        <v>3580</v>
      </c>
    </row>
    <row r="3609" spans="18:18" ht="13.8">
      <c r="R3609" s="10">
        <v>3581</v>
      </c>
    </row>
    <row r="3610" spans="18:18" ht="13.8">
      <c r="R3610" s="10">
        <v>3582</v>
      </c>
    </row>
    <row r="3611" spans="18:18" ht="13.8">
      <c r="R3611" s="10">
        <v>3583</v>
      </c>
    </row>
    <row r="3612" spans="18:18" ht="13.8">
      <c r="R3612" s="10">
        <v>3584</v>
      </c>
    </row>
    <row r="3613" spans="18:18" ht="13.8">
      <c r="R3613" s="10">
        <v>3585</v>
      </c>
    </row>
    <row r="3614" spans="18:18" ht="13.8">
      <c r="R3614" s="10">
        <v>3586</v>
      </c>
    </row>
    <row r="3615" spans="18:18" ht="13.8">
      <c r="R3615" s="10">
        <v>3587</v>
      </c>
    </row>
    <row r="3616" spans="18:18" ht="13.8">
      <c r="R3616" s="10">
        <v>3588</v>
      </c>
    </row>
    <row r="3617" spans="18:18" ht="13.8">
      <c r="R3617" s="10">
        <v>3589</v>
      </c>
    </row>
    <row r="3618" spans="18:18" ht="13.8">
      <c r="R3618" s="10">
        <v>3590</v>
      </c>
    </row>
    <row r="3619" spans="18:18" ht="13.8">
      <c r="R3619" s="10">
        <v>3591</v>
      </c>
    </row>
    <row r="3620" spans="18:18" ht="13.8">
      <c r="R3620" s="10">
        <v>3592</v>
      </c>
    </row>
    <row r="3621" spans="18:18" ht="13.8">
      <c r="R3621" s="10">
        <v>3593</v>
      </c>
    </row>
    <row r="3622" spans="18:18" ht="13.8">
      <c r="R3622" s="10">
        <v>3594</v>
      </c>
    </row>
    <row r="3623" spans="18:18" ht="13.8">
      <c r="R3623" s="10">
        <v>3595</v>
      </c>
    </row>
    <row r="3624" spans="18:18" ht="13.8">
      <c r="R3624" s="10">
        <v>3596</v>
      </c>
    </row>
    <row r="3625" spans="18:18" ht="13.8">
      <c r="R3625" s="10">
        <v>3597</v>
      </c>
    </row>
    <row r="3626" spans="18:18" ht="13.8">
      <c r="R3626" s="10">
        <v>3598</v>
      </c>
    </row>
    <row r="3627" spans="18:18" ht="13.8">
      <c r="R3627" s="10">
        <v>3599</v>
      </c>
    </row>
    <row r="3628" spans="18:18" ht="13.8">
      <c r="R3628" s="10">
        <v>3600</v>
      </c>
    </row>
    <row r="3629" spans="18:18" ht="13.8">
      <c r="R3629" s="10">
        <v>3601</v>
      </c>
    </row>
    <row r="3630" spans="18:18" ht="13.8">
      <c r="R3630" s="10">
        <v>3602</v>
      </c>
    </row>
    <row r="3631" spans="18:18" ht="13.8">
      <c r="R3631" s="10">
        <v>3603</v>
      </c>
    </row>
    <row r="3632" spans="18:18" ht="13.8">
      <c r="R3632" s="10">
        <v>3604</v>
      </c>
    </row>
    <row r="3633" spans="18:18" ht="13.8">
      <c r="R3633" s="10">
        <v>3605</v>
      </c>
    </row>
    <row r="3634" spans="18:18" ht="13.8">
      <c r="R3634" s="10">
        <v>3606</v>
      </c>
    </row>
    <row r="3635" spans="18:18" ht="13.8">
      <c r="R3635" s="10">
        <v>3607</v>
      </c>
    </row>
    <row r="3636" spans="18:18" ht="13.8">
      <c r="R3636" s="10">
        <v>3608</v>
      </c>
    </row>
    <row r="3637" spans="18:18" ht="13.8">
      <c r="R3637" s="10">
        <v>3609</v>
      </c>
    </row>
    <row r="3638" spans="18:18" ht="13.8">
      <c r="R3638" s="10">
        <v>3610</v>
      </c>
    </row>
    <row r="3639" spans="18:18" ht="13.8">
      <c r="R3639" s="10">
        <v>3611</v>
      </c>
    </row>
    <row r="3640" spans="18:18" ht="13.8">
      <c r="R3640" s="10">
        <v>3612</v>
      </c>
    </row>
    <row r="3641" spans="18:18" ht="13.8">
      <c r="R3641" s="10">
        <v>3613</v>
      </c>
    </row>
    <row r="3642" spans="18:18" ht="13.8">
      <c r="R3642" s="10">
        <v>3614</v>
      </c>
    </row>
    <row r="3643" spans="18:18" ht="13.8">
      <c r="R3643" s="10">
        <v>3615</v>
      </c>
    </row>
    <row r="3644" spans="18:18" ht="13.8">
      <c r="R3644" s="10">
        <v>3616</v>
      </c>
    </row>
    <row r="3645" spans="18:18" ht="13.8">
      <c r="R3645" s="10">
        <v>3617</v>
      </c>
    </row>
    <row r="3646" spans="18:18" ht="13.8">
      <c r="R3646" s="10">
        <v>3618</v>
      </c>
    </row>
    <row r="3647" spans="18:18" ht="13.8">
      <c r="R3647" s="10">
        <v>3619</v>
      </c>
    </row>
    <row r="3648" spans="18:18" ht="13.8">
      <c r="R3648" s="10">
        <v>3620</v>
      </c>
    </row>
    <row r="3649" spans="18:18" ht="13.8">
      <c r="R3649" s="10">
        <v>3621</v>
      </c>
    </row>
    <row r="3650" spans="18:18" ht="13.8">
      <c r="R3650" s="10">
        <v>3622</v>
      </c>
    </row>
    <row r="3651" spans="18:18" ht="13.8">
      <c r="R3651" s="10">
        <v>3623</v>
      </c>
    </row>
    <row r="3652" spans="18:18" ht="13.8">
      <c r="R3652" s="10">
        <v>3624</v>
      </c>
    </row>
    <row r="3653" spans="18:18" ht="13.8">
      <c r="R3653" s="10">
        <v>3625</v>
      </c>
    </row>
    <row r="3654" spans="18:18" ht="13.8">
      <c r="R3654" s="10">
        <v>3626</v>
      </c>
    </row>
    <row r="3655" spans="18:18" ht="13.8">
      <c r="R3655" s="10">
        <v>3627</v>
      </c>
    </row>
    <row r="3656" spans="18:18" ht="13.8">
      <c r="R3656" s="10">
        <v>3628</v>
      </c>
    </row>
    <row r="3657" spans="18:18" ht="13.8">
      <c r="R3657" s="10">
        <v>3629</v>
      </c>
    </row>
    <row r="3658" spans="18:18" ht="13.8">
      <c r="R3658" s="10">
        <v>3630</v>
      </c>
    </row>
    <row r="3659" spans="18:18" ht="13.8">
      <c r="R3659" s="10">
        <v>3631</v>
      </c>
    </row>
    <row r="3660" spans="18:18" ht="13.8">
      <c r="R3660" s="10">
        <v>3632</v>
      </c>
    </row>
    <row r="3661" spans="18:18" ht="13.8">
      <c r="R3661" s="10">
        <v>3633</v>
      </c>
    </row>
    <row r="3662" spans="18:18" ht="13.8">
      <c r="R3662" s="10">
        <v>3634</v>
      </c>
    </row>
    <row r="3663" spans="18:18" ht="13.8">
      <c r="R3663" s="10">
        <v>3635</v>
      </c>
    </row>
    <row r="3664" spans="18:18" ht="13.8">
      <c r="R3664" s="10">
        <v>3636</v>
      </c>
    </row>
    <row r="3665" spans="18:18" ht="13.8">
      <c r="R3665" s="10">
        <v>3637</v>
      </c>
    </row>
    <row r="3666" spans="18:18" ht="13.8">
      <c r="R3666" s="10">
        <v>3638</v>
      </c>
    </row>
    <row r="3667" spans="18:18" ht="13.8">
      <c r="R3667" s="10">
        <v>3639</v>
      </c>
    </row>
    <row r="3668" spans="18:18" ht="13.8">
      <c r="R3668" s="10">
        <v>3640</v>
      </c>
    </row>
    <row r="3669" spans="18:18" ht="13.8">
      <c r="R3669" s="10">
        <v>3641</v>
      </c>
    </row>
    <row r="3670" spans="18:18" ht="13.8">
      <c r="R3670" s="10">
        <v>3642</v>
      </c>
    </row>
    <row r="3671" spans="18:18" ht="13.8">
      <c r="R3671" s="10">
        <v>3643</v>
      </c>
    </row>
    <row r="3672" spans="18:18" ht="13.8">
      <c r="R3672" s="10">
        <v>3644</v>
      </c>
    </row>
    <row r="3673" spans="18:18" ht="13.8">
      <c r="R3673" s="10">
        <v>3645</v>
      </c>
    </row>
    <row r="3674" spans="18:18" ht="13.8">
      <c r="R3674" s="10">
        <v>3646</v>
      </c>
    </row>
    <row r="3675" spans="18:18" ht="13.8">
      <c r="R3675" s="10">
        <v>3647</v>
      </c>
    </row>
    <row r="3676" spans="18:18" ht="13.8">
      <c r="R3676" s="10">
        <v>3648</v>
      </c>
    </row>
    <row r="3677" spans="18:18" ht="13.8">
      <c r="R3677" s="10">
        <v>3649</v>
      </c>
    </row>
    <row r="3678" spans="18:18" ht="13.8">
      <c r="R3678" s="10">
        <v>3650</v>
      </c>
    </row>
    <row r="3679" spans="18:18" ht="13.8">
      <c r="R3679" s="10">
        <v>3651</v>
      </c>
    </row>
    <row r="3680" spans="18:18" ht="13.8">
      <c r="R3680" s="10">
        <v>3652</v>
      </c>
    </row>
    <row r="3681" spans="18:18" ht="13.8">
      <c r="R3681" s="10">
        <v>3653</v>
      </c>
    </row>
    <row r="3682" spans="18:18" ht="13.8">
      <c r="R3682" s="10">
        <v>3654</v>
      </c>
    </row>
    <row r="3683" spans="18:18" ht="13.8">
      <c r="R3683" s="10">
        <v>3655</v>
      </c>
    </row>
    <row r="3684" spans="18:18" ht="13.8">
      <c r="R3684" s="10">
        <v>3656</v>
      </c>
    </row>
    <row r="3685" spans="18:18" ht="13.8">
      <c r="R3685" s="10">
        <v>3657</v>
      </c>
    </row>
    <row r="3686" spans="18:18" ht="13.8">
      <c r="R3686" s="10">
        <v>3658</v>
      </c>
    </row>
    <row r="3687" spans="18:18" ht="13.8">
      <c r="R3687" s="10">
        <v>3659</v>
      </c>
    </row>
    <row r="3688" spans="18:18" ht="13.8">
      <c r="R3688" s="10">
        <v>3660</v>
      </c>
    </row>
    <row r="3689" spans="18:18" ht="13.8">
      <c r="R3689" s="10">
        <v>3661</v>
      </c>
    </row>
    <row r="3690" spans="18:18" ht="13.8">
      <c r="R3690" s="10">
        <v>3662</v>
      </c>
    </row>
    <row r="3691" spans="18:18" ht="13.8">
      <c r="R3691" s="10">
        <v>3663</v>
      </c>
    </row>
    <row r="3692" spans="18:18" ht="13.8">
      <c r="R3692" s="10">
        <v>3664</v>
      </c>
    </row>
    <row r="3693" spans="18:18" ht="13.8">
      <c r="R3693" s="10">
        <v>3665</v>
      </c>
    </row>
    <row r="3694" spans="18:18" ht="13.8">
      <c r="R3694" s="10">
        <v>3666</v>
      </c>
    </row>
    <row r="3695" spans="18:18" ht="13.8">
      <c r="R3695" s="10">
        <v>3667</v>
      </c>
    </row>
    <row r="3696" spans="18:18" ht="13.8">
      <c r="R3696" s="10">
        <v>3668</v>
      </c>
    </row>
    <row r="3697" spans="18:18" ht="13.8">
      <c r="R3697" s="10">
        <v>3669</v>
      </c>
    </row>
    <row r="3698" spans="18:18" ht="13.8">
      <c r="R3698" s="10">
        <v>3670</v>
      </c>
    </row>
    <row r="3699" spans="18:18" ht="13.8">
      <c r="R3699" s="10">
        <v>3671</v>
      </c>
    </row>
    <row r="3700" spans="18:18" ht="13.8">
      <c r="R3700" s="10">
        <v>3672</v>
      </c>
    </row>
    <row r="3701" spans="18:18" ht="13.8">
      <c r="R3701" s="10">
        <v>3673</v>
      </c>
    </row>
    <row r="3702" spans="18:18" ht="13.8">
      <c r="R3702" s="10">
        <v>3674</v>
      </c>
    </row>
    <row r="3703" spans="18:18" ht="13.8">
      <c r="R3703" s="10">
        <v>3675</v>
      </c>
    </row>
    <row r="3704" spans="18:18" ht="13.8">
      <c r="R3704" s="10">
        <v>3676</v>
      </c>
    </row>
    <row r="3705" spans="18:18" ht="13.8">
      <c r="R3705" s="10">
        <v>3677</v>
      </c>
    </row>
    <row r="3706" spans="18:18" ht="13.8">
      <c r="R3706" s="10">
        <v>3678</v>
      </c>
    </row>
    <row r="3707" spans="18:18" ht="13.8">
      <c r="R3707" s="10">
        <v>3679</v>
      </c>
    </row>
    <row r="3708" spans="18:18" ht="13.8">
      <c r="R3708" s="10">
        <v>3680</v>
      </c>
    </row>
    <row r="3709" spans="18:18" ht="13.8">
      <c r="R3709" s="10">
        <v>3681</v>
      </c>
    </row>
    <row r="3710" spans="18:18" ht="13.8">
      <c r="R3710" s="10">
        <v>3682</v>
      </c>
    </row>
    <row r="3711" spans="18:18" ht="13.8">
      <c r="R3711" s="10">
        <v>3683</v>
      </c>
    </row>
    <row r="3712" spans="18:18" ht="13.8">
      <c r="R3712" s="10">
        <v>3684</v>
      </c>
    </row>
    <row r="3713" spans="18:18" ht="13.8">
      <c r="R3713" s="10">
        <v>3685</v>
      </c>
    </row>
    <row r="3714" spans="18:18" ht="13.8">
      <c r="R3714" s="10">
        <v>3686</v>
      </c>
    </row>
    <row r="3715" spans="18:18" ht="13.8">
      <c r="R3715" s="10">
        <v>3687</v>
      </c>
    </row>
    <row r="3716" spans="18:18" ht="13.8">
      <c r="R3716" s="10">
        <v>3688</v>
      </c>
    </row>
    <row r="3717" spans="18:18" ht="13.8">
      <c r="R3717" s="10">
        <v>3689</v>
      </c>
    </row>
    <row r="3718" spans="18:18" ht="13.8">
      <c r="R3718" s="10">
        <v>3690</v>
      </c>
    </row>
    <row r="3719" spans="18:18" ht="13.8">
      <c r="R3719" s="10">
        <v>3691</v>
      </c>
    </row>
    <row r="3720" spans="18:18" ht="13.8">
      <c r="R3720" s="10">
        <v>3692</v>
      </c>
    </row>
    <row r="3721" spans="18:18" ht="13.8">
      <c r="R3721" s="10">
        <v>3693</v>
      </c>
    </row>
    <row r="3722" spans="18:18" ht="13.8">
      <c r="R3722" s="10">
        <v>3694</v>
      </c>
    </row>
    <row r="3723" spans="18:18" ht="13.8">
      <c r="R3723" s="10">
        <v>3695</v>
      </c>
    </row>
    <row r="3724" spans="18:18" ht="13.8">
      <c r="R3724" s="10">
        <v>3696</v>
      </c>
    </row>
    <row r="3725" spans="18:18" ht="13.8">
      <c r="R3725" s="10">
        <v>3697</v>
      </c>
    </row>
    <row r="3726" spans="18:18" ht="13.8">
      <c r="R3726" s="10">
        <v>3698</v>
      </c>
    </row>
    <row r="3727" spans="18:18" ht="13.8">
      <c r="R3727" s="10">
        <v>3699</v>
      </c>
    </row>
    <row r="3728" spans="18:18" ht="13.8">
      <c r="R3728" s="10">
        <v>3700</v>
      </c>
    </row>
    <row r="3729" spans="18:18" ht="13.8">
      <c r="R3729" s="10">
        <v>3701</v>
      </c>
    </row>
    <row r="3730" spans="18:18" ht="13.8">
      <c r="R3730" s="10">
        <v>3702</v>
      </c>
    </row>
    <row r="3731" spans="18:18" ht="13.8">
      <c r="R3731" s="10">
        <v>3703</v>
      </c>
    </row>
    <row r="3732" spans="18:18" ht="13.8">
      <c r="R3732" s="10">
        <v>3704</v>
      </c>
    </row>
    <row r="3733" spans="18:18" ht="13.8">
      <c r="R3733" s="10">
        <v>3705</v>
      </c>
    </row>
    <row r="3734" spans="18:18" ht="13.8">
      <c r="R3734" s="10">
        <v>3706</v>
      </c>
    </row>
    <row r="3735" spans="18:18" ht="13.8">
      <c r="R3735" s="10">
        <v>3707</v>
      </c>
    </row>
    <row r="3736" spans="18:18" ht="13.8">
      <c r="R3736" s="10">
        <v>3708</v>
      </c>
    </row>
    <row r="3737" spans="18:18" ht="13.8">
      <c r="R3737" s="10">
        <v>3709</v>
      </c>
    </row>
    <row r="3738" spans="18:18" ht="13.8">
      <c r="R3738" s="10">
        <v>3710</v>
      </c>
    </row>
    <row r="3739" spans="18:18" ht="13.8">
      <c r="R3739" s="10">
        <v>3711</v>
      </c>
    </row>
    <row r="3740" spans="18:18" ht="13.8">
      <c r="R3740" s="10">
        <v>3712</v>
      </c>
    </row>
    <row r="3741" spans="18:18" ht="13.8">
      <c r="R3741" s="10">
        <v>3713</v>
      </c>
    </row>
    <row r="3742" spans="18:18" ht="13.8">
      <c r="R3742" s="10">
        <v>3714</v>
      </c>
    </row>
    <row r="3743" spans="18:18" ht="13.8">
      <c r="R3743" s="10">
        <v>3715</v>
      </c>
    </row>
    <row r="3744" spans="18:18" ht="13.8">
      <c r="R3744" s="10">
        <v>3716</v>
      </c>
    </row>
    <row r="3745" spans="18:18" ht="13.8">
      <c r="R3745" s="10">
        <v>3717</v>
      </c>
    </row>
    <row r="3746" spans="18:18" ht="13.8">
      <c r="R3746" s="10">
        <v>3718</v>
      </c>
    </row>
    <row r="3747" spans="18:18" ht="13.8">
      <c r="R3747" s="10">
        <v>3719</v>
      </c>
    </row>
    <row r="3748" spans="18:18" ht="13.8">
      <c r="R3748" s="10">
        <v>3720</v>
      </c>
    </row>
    <row r="3749" spans="18:18" ht="13.8">
      <c r="R3749" s="10">
        <v>3721</v>
      </c>
    </row>
    <row r="3750" spans="18:18" ht="13.8">
      <c r="R3750" s="10">
        <v>3722</v>
      </c>
    </row>
    <row r="3751" spans="18:18" ht="13.8">
      <c r="R3751" s="10">
        <v>3723</v>
      </c>
    </row>
    <row r="3752" spans="18:18" ht="13.8">
      <c r="R3752" s="10">
        <v>3724</v>
      </c>
    </row>
    <row r="3753" spans="18:18" ht="13.8">
      <c r="R3753" s="10">
        <v>3725</v>
      </c>
    </row>
    <row r="3754" spans="18:18" ht="13.8">
      <c r="R3754" s="10">
        <v>3726</v>
      </c>
    </row>
    <row r="3755" spans="18:18" ht="13.8">
      <c r="R3755" s="10">
        <v>3727</v>
      </c>
    </row>
    <row r="3756" spans="18:18" ht="13.8">
      <c r="R3756" s="10">
        <v>3728</v>
      </c>
    </row>
    <row r="3757" spans="18:18" ht="13.8">
      <c r="R3757" s="10">
        <v>3729</v>
      </c>
    </row>
    <row r="3758" spans="18:18" ht="13.8">
      <c r="R3758" s="10">
        <v>3730</v>
      </c>
    </row>
    <row r="3759" spans="18:18" ht="13.8">
      <c r="R3759" s="10">
        <v>3731</v>
      </c>
    </row>
    <row r="3760" spans="18:18" ht="13.8">
      <c r="R3760" s="10">
        <v>3732</v>
      </c>
    </row>
    <row r="3761" spans="18:18" ht="13.8">
      <c r="R3761" s="10">
        <v>3733</v>
      </c>
    </row>
    <row r="3762" spans="18:18" ht="13.8">
      <c r="R3762" s="10">
        <v>3734</v>
      </c>
    </row>
    <row r="3763" spans="18:18" ht="13.8">
      <c r="R3763" s="10">
        <v>3735</v>
      </c>
    </row>
    <row r="3764" spans="18:18" ht="13.8">
      <c r="R3764" s="10">
        <v>3736</v>
      </c>
    </row>
    <row r="3765" spans="18:18" ht="13.8">
      <c r="R3765" s="10">
        <v>3737</v>
      </c>
    </row>
    <row r="3766" spans="18:18" ht="13.8">
      <c r="R3766" s="10">
        <v>3738</v>
      </c>
    </row>
    <row r="3767" spans="18:18" ht="13.8">
      <c r="R3767" s="10">
        <v>3739</v>
      </c>
    </row>
    <row r="3768" spans="18:18" ht="13.8">
      <c r="R3768" s="10">
        <v>3740</v>
      </c>
    </row>
    <row r="3769" spans="18:18" ht="13.8">
      <c r="R3769" s="10">
        <v>3741</v>
      </c>
    </row>
    <row r="3770" spans="18:18" ht="13.8">
      <c r="R3770" s="10">
        <v>3742</v>
      </c>
    </row>
    <row r="3771" spans="18:18" ht="13.8">
      <c r="R3771" s="10">
        <v>3743</v>
      </c>
    </row>
    <row r="3772" spans="18:18" ht="13.8">
      <c r="R3772" s="10">
        <v>3744</v>
      </c>
    </row>
    <row r="3773" spans="18:18" ht="13.8">
      <c r="R3773" s="10">
        <v>3745</v>
      </c>
    </row>
    <row r="3774" spans="18:18" ht="13.8">
      <c r="R3774" s="10">
        <v>3746</v>
      </c>
    </row>
    <row r="3775" spans="18:18" ht="13.8">
      <c r="R3775" s="10">
        <v>3747</v>
      </c>
    </row>
    <row r="3776" spans="18:18" ht="13.8">
      <c r="R3776" s="10">
        <v>3748</v>
      </c>
    </row>
    <row r="3777" spans="18:18" ht="13.8">
      <c r="R3777" s="10">
        <v>3749</v>
      </c>
    </row>
    <row r="3778" spans="18:18" ht="13.8">
      <c r="R3778" s="10">
        <v>3750</v>
      </c>
    </row>
    <row r="3779" spans="18:18" ht="13.8">
      <c r="R3779" s="10">
        <v>3751</v>
      </c>
    </row>
    <row r="3780" spans="18:18" ht="13.8">
      <c r="R3780" s="10">
        <v>3752</v>
      </c>
    </row>
    <row r="3781" spans="18:18" ht="13.8">
      <c r="R3781" s="10">
        <v>3753</v>
      </c>
    </row>
    <row r="3782" spans="18:18" ht="13.8">
      <c r="R3782" s="10">
        <v>3754</v>
      </c>
    </row>
    <row r="3783" spans="18:18" ht="13.8">
      <c r="R3783" s="10">
        <v>3755</v>
      </c>
    </row>
    <row r="3784" spans="18:18" ht="13.8">
      <c r="R3784" s="10">
        <v>3756</v>
      </c>
    </row>
    <row r="3785" spans="18:18" ht="13.8">
      <c r="R3785" s="10">
        <v>3757</v>
      </c>
    </row>
    <row r="3786" spans="18:18" ht="13.8">
      <c r="R3786" s="10">
        <v>3758</v>
      </c>
    </row>
    <row r="3787" spans="18:18" ht="13.8">
      <c r="R3787" s="10">
        <v>3759</v>
      </c>
    </row>
    <row r="3788" spans="18:18" ht="13.8">
      <c r="R3788" s="10">
        <v>3760</v>
      </c>
    </row>
    <row r="3789" spans="18:18" ht="13.8">
      <c r="R3789" s="10">
        <v>3761</v>
      </c>
    </row>
    <row r="3790" spans="18:18" ht="13.8">
      <c r="R3790" s="10">
        <v>3762</v>
      </c>
    </row>
    <row r="3791" spans="18:18" ht="13.8">
      <c r="R3791" s="10">
        <v>3763</v>
      </c>
    </row>
    <row r="3792" spans="18:18" ht="13.8">
      <c r="R3792" s="10">
        <v>3764</v>
      </c>
    </row>
    <row r="3793" spans="18:18" ht="13.8">
      <c r="R3793" s="10">
        <v>3765</v>
      </c>
    </row>
    <row r="3794" spans="18:18" ht="13.8">
      <c r="R3794" s="10">
        <v>3766</v>
      </c>
    </row>
    <row r="3795" spans="18:18" ht="13.8">
      <c r="R3795" s="10">
        <v>3767</v>
      </c>
    </row>
    <row r="3796" spans="18:18" ht="13.8">
      <c r="R3796" s="10">
        <v>3768</v>
      </c>
    </row>
    <row r="3797" spans="18:18" ht="13.8">
      <c r="R3797" s="10">
        <v>3769</v>
      </c>
    </row>
    <row r="3798" spans="18:18" ht="13.8">
      <c r="R3798" s="10">
        <v>3770</v>
      </c>
    </row>
    <row r="3799" spans="18:18" ht="13.8">
      <c r="R3799" s="10">
        <v>3771</v>
      </c>
    </row>
    <row r="3800" spans="18:18" ht="13.8">
      <c r="R3800" s="10">
        <v>3772</v>
      </c>
    </row>
    <row r="3801" spans="18:18" ht="13.8">
      <c r="R3801" s="10">
        <v>3773</v>
      </c>
    </row>
    <row r="3802" spans="18:18" ht="13.8">
      <c r="R3802" s="10">
        <v>3774</v>
      </c>
    </row>
    <row r="3803" spans="18:18" ht="13.8">
      <c r="R3803" s="10">
        <v>3775</v>
      </c>
    </row>
    <row r="3804" spans="18:18" ht="13.8">
      <c r="R3804" s="10">
        <v>3776</v>
      </c>
    </row>
    <row r="3805" spans="18:18" ht="13.8">
      <c r="R3805" s="10">
        <v>3777</v>
      </c>
    </row>
    <row r="3806" spans="18:18" ht="13.8">
      <c r="R3806" s="10">
        <v>3778</v>
      </c>
    </row>
    <row r="3807" spans="18:18" ht="13.8">
      <c r="R3807" s="10">
        <v>3779</v>
      </c>
    </row>
    <row r="3808" spans="18:18" ht="13.8">
      <c r="R3808" s="10">
        <v>3780</v>
      </c>
    </row>
    <row r="3809" spans="18:18" ht="13.8">
      <c r="R3809" s="10">
        <v>3781</v>
      </c>
    </row>
    <row r="3810" spans="18:18" ht="13.8">
      <c r="R3810" s="10">
        <v>3782</v>
      </c>
    </row>
    <row r="3811" spans="18:18" ht="13.8">
      <c r="R3811" s="10">
        <v>3783</v>
      </c>
    </row>
    <row r="3812" spans="18:18" ht="13.8">
      <c r="R3812" s="10">
        <v>3784</v>
      </c>
    </row>
    <row r="3813" spans="18:18" ht="13.8">
      <c r="R3813" s="10">
        <v>3785</v>
      </c>
    </row>
    <row r="3814" spans="18:18" ht="13.8">
      <c r="R3814" s="10">
        <v>3786</v>
      </c>
    </row>
    <row r="3815" spans="18:18" ht="13.8">
      <c r="R3815" s="10">
        <v>3787</v>
      </c>
    </row>
    <row r="3816" spans="18:18" ht="13.8">
      <c r="R3816" s="10">
        <v>3788</v>
      </c>
    </row>
    <row r="3817" spans="18:18" ht="13.8">
      <c r="R3817" s="10">
        <v>3789</v>
      </c>
    </row>
    <row r="3818" spans="18:18" ht="13.8">
      <c r="R3818" s="10">
        <v>3790</v>
      </c>
    </row>
    <row r="3819" spans="18:18" ht="13.8">
      <c r="R3819" s="10">
        <v>3791</v>
      </c>
    </row>
    <row r="3820" spans="18:18" ht="13.8">
      <c r="R3820" s="10">
        <v>3792</v>
      </c>
    </row>
    <row r="3821" spans="18:18" ht="13.8">
      <c r="R3821" s="10">
        <v>3793</v>
      </c>
    </row>
    <row r="3822" spans="18:18" ht="13.8">
      <c r="R3822" s="10">
        <v>3794</v>
      </c>
    </row>
    <row r="3823" spans="18:18" ht="13.8">
      <c r="R3823" s="10">
        <v>3795</v>
      </c>
    </row>
    <row r="3824" spans="18:18" ht="13.8">
      <c r="R3824" s="10">
        <v>3796</v>
      </c>
    </row>
    <row r="3825" spans="18:18" ht="13.8">
      <c r="R3825" s="10">
        <v>3797</v>
      </c>
    </row>
    <row r="3826" spans="18:18" ht="13.8">
      <c r="R3826" s="10">
        <v>3798</v>
      </c>
    </row>
    <row r="3827" spans="18:18" ht="13.8">
      <c r="R3827" s="10">
        <v>3799</v>
      </c>
    </row>
    <row r="3828" spans="18:18" ht="13.8">
      <c r="R3828" s="10">
        <v>3800</v>
      </c>
    </row>
    <row r="3829" spans="18:18" ht="13.8">
      <c r="R3829" s="10">
        <v>3801</v>
      </c>
    </row>
    <row r="3830" spans="18:18" ht="13.8">
      <c r="R3830" s="10">
        <v>3802</v>
      </c>
    </row>
    <row r="3831" spans="18:18" ht="13.8">
      <c r="R3831" s="10">
        <v>3803</v>
      </c>
    </row>
    <row r="3832" spans="18:18" ht="13.8">
      <c r="R3832" s="10">
        <v>3804</v>
      </c>
    </row>
    <row r="3833" spans="18:18" ht="13.8">
      <c r="R3833" s="10">
        <v>3805</v>
      </c>
    </row>
    <row r="3834" spans="18:18" ht="13.8">
      <c r="R3834" s="10">
        <v>3806</v>
      </c>
    </row>
    <row r="3835" spans="18:18" ht="13.8">
      <c r="R3835" s="10">
        <v>3807</v>
      </c>
    </row>
    <row r="3836" spans="18:18" ht="13.8">
      <c r="R3836" s="10">
        <v>3808</v>
      </c>
    </row>
    <row r="3837" spans="18:18" ht="13.8">
      <c r="R3837" s="10">
        <v>3809</v>
      </c>
    </row>
    <row r="3838" spans="18:18" ht="13.8">
      <c r="R3838" s="10">
        <v>3810</v>
      </c>
    </row>
    <row r="3839" spans="18:18" ht="13.8">
      <c r="R3839" s="10">
        <v>3811</v>
      </c>
    </row>
    <row r="3840" spans="18:18" ht="13.8">
      <c r="R3840" s="10">
        <v>3812</v>
      </c>
    </row>
    <row r="3841" spans="18:18" ht="13.8">
      <c r="R3841" s="10">
        <v>3813</v>
      </c>
    </row>
    <row r="3842" spans="18:18" ht="13.8">
      <c r="R3842" s="10">
        <v>3814</v>
      </c>
    </row>
    <row r="3843" spans="18:18" ht="13.8">
      <c r="R3843" s="10">
        <v>3815</v>
      </c>
    </row>
    <row r="3844" spans="18:18" ht="13.8">
      <c r="R3844" s="10">
        <v>3816</v>
      </c>
    </row>
    <row r="3845" spans="18:18" ht="13.8">
      <c r="R3845" s="10">
        <v>3817</v>
      </c>
    </row>
    <row r="3846" spans="18:18" ht="13.8">
      <c r="R3846" s="10">
        <v>3818</v>
      </c>
    </row>
    <row r="3847" spans="18:18" ht="13.8">
      <c r="R3847" s="10">
        <v>3819</v>
      </c>
    </row>
    <row r="3848" spans="18:18" ht="13.8">
      <c r="R3848" s="10">
        <v>3820</v>
      </c>
    </row>
    <row r="3849" spans="18:18" ht="13.8">
      <c r="R3849" s="10">
        <v>3821</v>
      </c>
    </row>
    <row r="3850" spans="18:18" ht="13.8">
      <c r="R3850" s="10">
        <v>3822</v>
      </c>
    </row>
    <row r="3851" spans="18:18" ht="13.8">
      <c r="R3851" s="10">
        <v>3823</v>
      </c>
    </row>
    <row r="3852" spans="18:18" ht="13.8">
      <c r="R3852" s="10">
        <v>3824</v>
      </c>
    </row>
    <row r="3853" spans="18:18" ht="13.8">
      <c r="R3853" s="10">
        <v>3825</v>
      </c>
    </row>
    <row r="3854" spans="18:18" ht="13.8">
      <c r="R3854" s="10">
        <v>3826</v>
      </c>
    </row>
    <row r="3855" spans="18:18" ht="13.8">
      <c r="R3855" s="10">
        <v>3827</v>
      </c>
    </row>
    <row r="3856" spans="18:18" ht="13.8">
      <c r="R3856" s="10">
        <v>3828</v>
      </c>
    </row>
    <row r="3857" spans="18:18" ht="13.8">
      <c r="R3857" s="10">
        <v>3829</v>
      </c>
    </row>
    <row r="3858" spans="18:18" ht="13.8">
      <c r="R3858" s="10">
        <v>3830</v>
      </c>
    </row>
    <row r="3859" spans="18:18" ht="13.8">
      <c r="R3859" s="10">
        <v>3831</v>
      </c>
    </row>
    <row r="3860" spans="18:18" ht="13.8">
      <c r="R3860" s="10">
        <v>3832</v>
      </c>
    </row>
    <row r="3861" spans="18:18" ht="13.8">
      <c r="R3861" s="10">
        <v>3833</v>
      </c>
    </row>
    <row r="3862" spans="18:18" ht="13.8">
      <c r="R3862" s="10">
        <v>3834</v>
      </c>
    </row>
    <row r="3863" spans="18:18" ht="13.8">
      <c r="R3863" s="10">
        <v>3835</v>
      </c>
    </row>
    <row r="3864" spans="18:18" ht="13.8">
      <c r="R3864" s="10">
        <v>3836</v>
      </c>
    </row>
    <row r="3865" spans="18:18" ht="13.8">
      <c r="R3865" s="10">
        <v>3837</v>
      </c>
    </row>
    <row r="3866" spans="18:18" ht="13.8">
      <c r="R3866" s="10">
        <v>3838</v>
      </c>
    </row>
    <row r="3867" spans="18:18" ht="13.8">
      <c r="R3867" s="10">
        <v>3839</v>
      </c>
    </row>
    <row r="3868" spans="18:18" ht="13.8">
      <c r="R3868" s="10">
        <v>3840</v>
      </c>
    </row>
    <row r="3869" spans="18:18" ht="13.8">
      <c r="R3869" s="10">
        <v>3841</v>
      </c>
    </row>
    <row r="3870" spans="18:18" ht="13.8">
      <c r="R3870" s="10">
        <v>3842</v>
      </c>
    </row>
    <row r="3871" spans="18:18" ht="13.8">
      <c r="R3871" s="10">
        <v>3843</v>
      </c>
    </row>
    <row r="3872" spans="18:18" ht="13.8">
      <c r="R3872" s="10">
        <v>3844</v>
      </c>
    </row>
    <row r="3873" spans="18:18" ht="13.8">
      <c r="R3873" s="10">
        <v>3845</v>
      </c>
    </row>
    <row r="3874" spans="18:18" ht="13.8">
      <c r="R3874" s="10">
        <v>3846</v>
      </c>
    </row>
    <row r="3875" spans="18:18" ht="13.8">
      <c r="R3875" s="10">
        <v>3847</v>
      </c>
    </row>
    <row r="3876" spans="18:18" ht="13.8">
      <c r="R3876" s="10">
        <v>3848</v>
      </c>
    </row>
    <row r="3877" spans="18:18" ht="13.8">
      <c r="R3877" s="10">
        <v>3849</v>
      </c>
    </row>
    <row r="3878" spans="18:18" ht="13.8">
      <c r="R3878" s="10">
        <v>3850</v>
      </c>
    </row>
    <row r="3879" spans="18:18" ht="13.8">
      <c r="R3879" s="10">
        <v>3851</v>
      </c>
    </row>
    <row r="3880" spans="18:18" ht="13.8">
      <c r="R3880" s="10">
        <v>3852</v>
      </c>
    </row>
    <row r="3881" spans="18:18" ht="13.8">
      <c r="R3881" s="10">
        <v>3853</v>
      </c>
    </row>
    <row r="3882" spans="18:18" ht="13.8">
      <c r="R3882" s="10">
        <v>3854</v>
      </c>
    </row>
    <row r="3883" spans="18:18" ht="13.8">
      <c r="R3883" s="10">
        <v>3855</v>
      </c>
    </row>
    <row r="3884" spans="18:18" ht="13.8">
      <c r="R3884" s="10">
        <v>3856</v>
      </c>
    </row>
    <row r="3885" spans="18:18" ht="13.8">
      <c r="R3885" s="10">
        <v>3857</v>
      </c>
    </row>
    <row r="3886" spans="18:18" ht="13.8">
      <c r="R3886" s="10">
        <v>3858</v>
      </c>
    </row>
    <row r="3887" spans="18:18" ht="13.8">
      <c r="R3887" s="10">
        <v>3859</v>
      </c>
    </row>
    <row r="3888" spans="18:18" ht="13.8">
      <c r="R3888" s="10">
        <v>3860</v>
      </c>
    </row>
    <row r="3889" spans="18:18" ht="13.8">
      <c r="R3889" s="10">
        <v>3861</v>
      </c>
    </row>
    <row r="3890" spans="18:18" ht="13.8">
      <c r="R3890" s="10">
        <v>3862</v>
      </c>
    </row>
    <row r="3891" spans="18:18" ht="13.8">
      <c r="R3891" s="10">
        <v>3863</v>
      </c>
    </row>
    <row r="3892" spans="18:18" ht="13.8">
      <c r="R3892" s="10">
        <v>3864</v>
      </c>
    </row>
    <row r="3893" spans="18:18" ht="13.8">
      <c r="R3893" s="10">
        <v>3865</v>
      </c>
    </row>
    <row r="3894" spans="18:18" ht="13.8">
      <c r="R3894" s="10">
        <v>3866</v>
      </c>
    </row>
    <row r="3895" spans="18:18" ht="13.8">
      <c r="R3895" s="10">
        <v>3867</v>
      </c>
    </row>
    <row r="3896" spans="18:18" ht="13.8">
      <c r="R3896" s="10">
        <v>3868</v>
      </c>
    </row>
    <row r="3897" spans="18:18" ht="13.8">
      <c r="R3897" s="10">
        <v>3869</v>
      </c>
    </row>
    <row r="3898" spans="18:18" ht="13.8">
      <c r="R3898" s="10">
        <v>3870</v>
      </c>
    </row>
    <row r="3899" spans="18:18" ht="13.8">
      <c r="R3899" s="10">
        <v>3871</v>
      </c>
    </row>
    <row r="3900" spans="18:18" ht="13.8">
      <c r="R3900" s="10">
        <v>3872</v>
      </c>
    </row>
    <row r="3901" spans="18:18" ht="13.8">
      <c r="R3901" s="10">
        <v>3873</v>
      </c>
    </row>
    <row r="3902" spans="18:18" ht="13.8">
      <c r="R3902" s="10">
        <v>3874</v>
      </c>
    </row>
    <row r="3903" spans="18:18" ht="13.8">
      <c r="R3903" s="10">
        <v>3875</v>
      </c>
    </row>
    <row r="3904" spans="18:18" ht="13.8">
      <c r="R3904" s="10">
        <v>3876</v>
      </c>
    </row>
    <row r="3905" spans="18:18" ht="13.8">
      <c r="R3905" s="10">
        <v>3877</v>
      </c>
    </row>
    <row r="3906" spans="18:18" ht="13.8">
      <c r="R3906" s="10">
        <v>3878</v>
      </c>
    </row>
    <row r="3907" spans="18:18" ht="13.8">
      <c r="R3907" s="10">
        <v>3879</v>
      </c>
    </row>
    <row r="3908" spans="18:18" ht="13.8">
      <c r="R3908" s="10">
        <v>3880</v>
      </c>
    </row>
    <row r="3909" spans="18:18" ht="13.8">
      <c r="R3909" s="10">
        <v>3881</v>
      </c>
    </row>
    <row r="3910" spans="18:18" ht="13.8">
      <c r="R3910" s="10">
        <v>3882</v>
      </c>
    </row>
    <row r="3911" spans="18:18" ht="13.8">
      <c r="R3911" s="10">
        <v>3883</v>
      </c>
    </row>
    <row r="3912" spans="18:18" ht="13.8">
      <c r="R3912" s="10">
        <v>3884</v>
      </c>
    </row>
    <row r="3913" spans="18:18" ht="13.8">
      <c r="R3913" s="10">
        <v>3885</v>
      </c>
    </row>
    <row r="3914" spans="18:18" ht="13.8">
      <c r="R3914" s="10">
        <v>3886</v>
      </c>
    </row>
    <row r="3915" spans="18:18" ht="13.8">
      <c r="R3915" s="10">
        <v>3887</v>
      </c>
    </row>
    <row r="3916" spans="18:18" ht="13.8">
      <c r="R3916" s="10">
        <v>3888</v>
      </c>
    </row>
    <row r="3917" spans="18:18" ht="13.8">
      <c r="R3917" s="10">
        <v>3889</v>
      </c>
    </row>
    <row r="3918" spans="18:18" ht="13.8">
      <c r="R3918" s="10">
        <v>3890</v>
      </c>
    </row>
    <row r="3919" spans="18:18" ht="13.8">
      <c r="R3919" s="10">
        <v>3891</v>
      </c>
    </row>
    <row r="3920" spans="18:18" ht="13.8">
      <c r="R3920" s="10">
        <v>3892</v>
      </c>
    </row>
    <row r="3921" spans="18:18" ht="13.8">
      <c r="R3921" s="10">
        <v>3893</v>
      </c>
    </row>
    <row r="3922" spans="18:18" ht="13.8">
      <c r="R3922" s="10">
        <v>3894</v>
      </c>
    </row>
    <row r="3923" spans="18:18" ht="13.8">
      <c r="R3923" s="10">
        <v>3895</v>
      </c>
    </row>
    <row r="3924" spans="18:18" ht="13.8">
      <c r="R3924" s="10">
        <v>3896</v>
      </c>
    </row>
    <row r="3925" spans="18:18" ht="13.8">
      <c r="R3925" s="10">
        <v>3897</v>
      </c>
    </row>
    <row r="3926" spans="18:18" ht="13.8">
      <c r="R3926" s="10">
        <v>3898</v>
      </c>
    </row>
    <row r="3927" spans="18:18" ht="13.8">
      <c r="R3927" s="10">
        <v>3899</v>
      </c>
    </row>
    <row r="3928" spans="18:18" ht="13.8">
      <c r="R3928" s="10">
        <v>3900</v>
      </c>
    </row>
    <row r="3929" spans="18:18" ht="13.8">
      <c r="R3929" s="10">
        <v>3901</v>
      </c>
    </row>
    <row r="3930" spans="18:18" ht="13.8">
      <c r="R3930" s="10">
        <v>3902</v>
      </c>
    </row>
    <row r="3931" spans="18:18" ht="13.8">
      <c r="R3931" s="10">
        <v>3903</v>
      </c>
    </row>
    <row r="3932" spans="18:18" ht="13.8">
      <c r="R3932" s="10">
        <v>3904</v>
      </c>
    </row>
    <row r="3933" spans="18:18" ht="13.8">
      <c r="R3933" s="10">
        <v>3905</v>
      </c>
    </row>
    <row r="3934" spans="18:18" ht="13.8">
      <c r="R3934" s="10">
        <v>3906</v>
      </c>
    </row>
    <row r="3935" spans="18:18" ht="13.8">
      <c r="R3935" s="10">
        <v>3907</v>
      </c>
    </row>
    <row r="3936" spans="18:18" ht="13.8">
      <c r="R3936" s="10">
        <v>3908</v>
      </c>
    </row>
    <row r="3937" spans="18:18" ht="13.8">
      <c r="R3937" s="10">
        <v>3909</v>
      </c>
    </row>
    <row r="3938" spans="18:18" ht="13.8">
      <c r="R3938" s="10">
        <v>3910</v>
      </c>
    </row>
    <row r="3939" spans="18:18" ht="13.8">
      <c r="R3939" s="10">
        <v>3911</v>
      </c>
    </row>
    <row r="3940" spans="18:18" ht="13.8">
      <c r="R3940" s="10">
        <v>3912</v>
      </c>
    </row>
    <row r="3941" spans="18:18" ht="13.8">
      <c r="R3941" s="10">
        <v>3913</v>
      </c>
    </row>
    <row r="3942" spans="18:18" ht="13.8">
      <c r="R3942" s="10">
        <v>3914</v>
      </c>
    </row>
    <row r="3943" spans="18:18" ht="13.8">
      <c r="R3943" s="10">
        <v>3915</v>
      </c>
    </row>
    <row r="3944" spans="18:18" ht="13.8">
      <c r="R3944" s="10">
        <v>3916</v>
      </c>
    </row>
    <row r="3945" spans="18:18" ht="13.8">
      <c r="R3945" s="10">
        <v>3917</v>
      </c>
    </row>
    <row r="3946" spans="18:18" ht="13.8">
      <c r="R3946" s="10">
        <v>3918</v>
      </c>
    </row>
    <row r="3947" spans="18:18" ht="13.8">
      <c r="R3947" s="10">
        <v>3919</v>
      </c>
    </row>
    <row r="3948" spans="18:18" ht="13.8">
      <c r="R3948" s="10">
        <v>3920</v>
      </c>
    </row>
    <row r="3949" spans="18:18" ht="13.8">
      <c r="R3949" s="10">
        <v>3921</v>
      </c>
    </row>
    <row r="3950" spans="18:18" ht="13.8">
      <c r="R3950" s="10">
        <v>3922</v>
      </c>
    </row>
    <row r="3951" spans="18:18" ht="13.8">
      <c r="R3951" s="10">
        <v>3923</v>
      </c>
    </row>
    <row r="3952" spans="18:18" ht="13.8">
      <c r="R3952" s="10">
        <v>3924</v>
      </c>
    </row>
    <row r="3953" spans="18:18" ht="13.8">
      <c r="R3953" s="10">
        <v>3925</v>
      </c>
    </row>
    <row r="3954" spans="18:18" ht="13.8">
      <c r="R3954" s="10">
        <v>3926</v>
      </c>
    </row>
    <row r="3955" spans="18:18" ht="13.8">
      <c r="R3955" s="10">
        <v>3927</v>
      </c>
    </row>
    <row r="3956" spans="18:18" ht="13.8">
      <c r="R3956" s="10">
        <v>3928</v>
      </c>
    </row>
    <row r="3957" spans="18:18" ht="13.8">
      <c r="R3957" s="10">
        <v>3929</v>
      </c>
    </row>
    <row r="3958" spans="18:18" ht="13.8">
      <c r="R3958" s="10">
        <v>3930</v>
      </c>
    </row>
    <row r="3959" spans="18:18" ht="13.8">
      <c r="R3959" s="10">
        <v>3931</v>
      </c>
    </row>
    <row r="3960" spans="18:18" ht="13.8">
      <c r="R3960" s="10">
        <v>3932</v>
      </c>
    </row>
    <row r="3961" spans="18:18" ht="13.8">
      <c r="R3961" s="10">
        <v>3933</v>
      </c>
    </row>
    <row r="3962" spans="18:18" ht="13.8">
      <c r="R3962" s="10">
        <v>3934</v>
      </c>
    </row>
    <row r="3963" spans="18:18" ht="13.8">
      <c r="R3963" s="10">
        <v>3935</v>
      </c>
    </row>
    <row r="3964" spans="18:18" ht="13.8">
      <c r="R3964" s="10">
        <v>3936</v>
      </c>
    </row>
    <row r="3965" spans="18:18" ht="13.8">
      <c r="R3965" s="10">
        <v>3937</v>
      </c>
    </row>
    <row r="3966" spans="18:18" ht="13.8">
      <c r="R3966" s="10">
        <v>3938</v>
      </c>
    </row>
    <row r="3967" spans="18:18" ht="13.8">
      <c r="R3967" s="10">
        <v>3939</v>
      </c>
    </row>
    <row r="3968" spans="18:18" ht="13.8">
      <c r="R3968" s="10">
        <v>3940</v>
      </c>
    </row>
    <row r="3969" spans="18:18" ht="13.8">
      <c r="R3969" s="10">
        <v>3941</v>
      </c>
    </row>
    <row r="3970" spans="18:18" ht="13.8">
      <c r="R3970" s="10">
        <v>3942</v>
      </c>
    </row>
    <row r="3971" spans="18:18" ht="13.8">
      <c r="R3971" s="10">
        <v>3943</v>
      </c>
    </row>
    <row r="3972" spans="18:18" ht="13.8">
      <c r="R3972" s="10">
        <v>3944</v>
      </c>
    </row>
    <row r="3973" spans="18:18" ht="13.8">
      <c r="R3973" s="10">
        <v>3945</v>
      </c>
    </row>
    <row r="3974" spans="18:18" ht="13.8">
      <c r="R3974" s="10">
        <v>3946</v>
      </c>
    </row>
    <row r="3975" spans="18:18" ht="13.8">
      <c r="R3975" s="10">
        <v>3947</v>
      </c>
    </row>
    <row r="3976" spans="18:18" ht="13.8">
      <c r="R3976" s="10">
        <v>3948</v>
      </c>
    </row>
    <row r="3977" spans="18:18" ht="13.8">
      <c r="R3977" s="10">
        <v>3949</v>
      </c>
    </row>
    <row r="3978" spans="18:18" ht="13.8">
      <c r="R3978" s="10">
        <v>3950</v>
      </c>
    </row>
    <row r="3979" spans="18:18" ht="13.8">
      <c r="R3979" s="10">
        <v>3951</v>
      </c>
    </row>
    <row r="3980" spans="18:18" ht="13.8">
      <c r="R3980" s="10">
        <v>3952</v>
      </c>
    </row>
    <row r="3981" spans="18:18" ht="13.8">
      <c r="R3981" s="10">
        <v>3953</v>
      </c>
    </row>
    <row r="3982" spans="18:18" ht="13.8">
      <c r="R3982" s="10">
        <v>3954</v>
      </c>
    </row>
    <row r="3983" spans="18:18" ht="13.8">
      <c r="R3983" s="10">
        <v>3955</v>
      </c>
    </row>
    <row r="3984" spans="18:18" ht="13.8">
      <c r="R3984" s="10">
        <v>3956</v>
      </c>
    </row>
    <row r="3985" spans="18:18" ht="13.8">
      <c r="R3985" s="10">
        <v>3957</v>
      </c>
    </row>
    <row r="3986" spans="18:18" ht="13.8">
      <c r="R3986" s="10">
        <v>3958</v>
      </c>
    </row>
    <row r="3987" spans="18:18" ht="13.8">
      <c r="R3987" s="10">
        <v>3959</v>
      </c>
    </row>
    <row r="3988" spans="18:18" ht="13.8">
      <c r="R3988" s="10">
        <v>3960</v>
      </c>
    </row>
    <row r="3989" spans="18:18" ht="13.8">
      <c r="R3989" s="10">
        <v>3961</v>
      </c>
    </row>
    <row r="3990" spans="18:18" ht="13.8">
      <c r="R3990" s="10">
        <v>3962</v>
      </c>
    </row>
    <row r="3991" spans="18:18" ht="13.8">
      <c r="R3991" s="10">
        <v>3963</v>
      </c>
    </row>
    <row r="3992" spans="18:18" ht="13.8">
      <c r="R3992" s="10">
        <v>3964</v>
      </c>
    </row>
    <row r="3993" spans="18:18" ht="13.8">
      <c r="R3993" s="10">
        <v>3965</v>
      </c>
    </row>
    <row r="3994" spans="18:18" ht="13.8">
      <c r="R3994" s="10">
        <v>3966</v>
      </c>
    </row>
    <row r="3995" spans="18:18" ht="13.8">
      <c r="R3995" s="10">
        <v>3967</v>
      </c>
    </row>
    <row r="3996" spans="18:18" ht="13.8">
      <c r="R3996" s="10">
        <v>3968</v>
      </c>
    </row>
    <row r="3997" spans="18:18" ht="13.8">
      <c r="R3997" s="10">
        <v>3969</v>
      </c>
    </row>
    <row r="3998" spans="18:18" ht="13.8">
      <c r="R3998" s="10">
        <v>3970</v>
      </c>
    </row>
    <row r="3999" spans="18:18" ht="13.8">
      <c r="R3999" s="10">
        <v>3971</v>
      </c>
    </row>
    <row r="4000" spans="18:18" ht="13.8">
      <c r="R4000" s="10">
        <v>3972</v>
      </c>
    </row>
    <row r="4001" spans="18:18" ht="13.8">
      <c r="R4001" s="10">
        <v>3973</v>
      </c>
    </row>
    <row r="4002" spans="18:18" ht="13.8">
      <c r="R4002" s="10">
        <v>3974</v>
      </c>
    </row>
    <row r="4003" spans="18:18" ht="13.8">
      <c r="R4003" s="10">
        <v>3975</v>
      </c>
    </row>
    <row r="4004" spans="18:18" ht="13.8">
      <c r="R4004" s="10">
        <v>3976</v>
      </c>
    </row>
    <row r="4005" spans="18:18" ht="13.8">
      <c r="R4005" s="10">
        <v>3977</v>
      </c>
    </row>
    <row r="4006" spans="18:18" ht="13.8">
      <c r="R4006" s="10">
        <v>3978</v>
      </c>
    </row>
    <row r="4007" spans="18:18" ht="13.8">
      <c r="R4007" s="10">
        <v>3979</v>
      </c>
    </row>
    <row r="4008" spans="18:18" ht="13.8">
      <c r="R4008" s="10">
        <v>3980</v>
      </c>
    </row>
    <row r="4009" spans="18:18" ht="13.8">
      <c r="R4009" s="10">
        <v>3981</v>
      </c>
    </row>
    <row r="4010" spans="18:18" ht="13.8">
      <c r="R4010" s="10">
        <v>3982</v>
      </c>
    </row>
    <row r="4011" spans="18:18" ht="13.8">
      <c r="R4011" s="10">
        <v>3983</v>
      </c>
    </row>
    <row r="4012" spans="18:18" ht="13.8">
      <c r="R4012" s="10">
        <v>3984</v>
      </c>
    </row>
    <row r="4013" spans="18:18" ht="13.8">
      <c r="R4013" s="10">
        <v>3985</v>
      </c>
    </row>
    <row r="4014" spans="18:18" ht="13.8">
      <c r="R4014" s="10">
        <v>3986</v>
      </c>
    </row>
    <row r="4015" spans="18:18" ht="13.8">
      <c r="R4015" s="10">
        <v>3987</v>
      </c>
    </row>
    <row r="4016" spans="18:18" ht="13.8">
      <c r="R4016" s="10">
        <v>3988</v>
      </c>
    </row>
    <row r="4017" spans="18:18" ht="13.8">
      <c r="R4017" s="10">
        <v>3989</v>
      </c>
    </row>
    <row r="4018" spans="18:18" ht="13.8">
      <c r="R4018" s="10">
        <v>3990</v>
      </c>
    </row>
    <row r="4019" spans="18:18" ht="13.8">
      <c r="R4019" s="10">
        <v>3991</v>
      </c>
    </row>
    <row r="4020" spans="18:18" ht="13.8">
      <c r="R4020" s="10">
        <v>3992</v>
      </c>
    </row>
    <row r="4021" spans="18:18" ht="13.8">
      <c r="R4021" s="10">
        <v>3993</v>
      </c>
    </row>
    <row r="4022" spans="18:18" ht="13.8">
      <c r="R4022" s="10">
        <v>3994</v>
      </c>
    </row>
    <row r="4023" spans="18:18" ht="13.8">
      <c r="R4023" s="10">
        <v>3995</v>
      </c>
    </row>
    <row r="4024" spans="18:18" ht="13.8">
      <c r="R4024" s="10">
        <v>3996</v>
      </c>
    </row>
    <row r="4025" spans="18:18" ht="13.8">
      <c r="R4025" s="10">
        <v>3997</v>
      </c>
    </row>
    <row r="4026" spans="18:18" ht="13.8">
      <c r="R4026" s="10">
        <v>3998</v>
      </c>
    </row>
    <row r="4027" spans="18:18" ht="13.8">
      <c r="R4027" s="10">
        <v>3999</v>
      </c>
    </row>
    <row r="4028" spans="18:18" ht="13.8">
      <c r="R4028" s="10">
        <v>4000</v>
      </c>
    </row>
    <row r="4029" spans="18:18" ht="13.8">
      <c r="R4029" s="10">
        <v>4001</v>
      </c>
    </row>
    <row r="4030" spans="18:18" ht="13.8">
      <c r="R4030" s="10">
        <v>4002</v>
      </c>
    </row>
    <row r="4031" spans="18:18" ht="13.8">
      <c r="R4031" s="10">
        <v>4003</v>
      </c>
    </row>
    <row r="4032" spans="18:18" ht="13.8">
      <c r="R4032" s="10">
        <v>4004</v>
      </c>
    </row>
    <row r="4033" spans="18:18" ht="13.8">
      <c r="R4033" s="10">
        <v>4005</v>
      </c>
    </row>
    <row r="4034" spans="18:18" ht="13.8">
      <c r="R4034" s="10">
        <v>4006</v>
      </c>
    </row>
    <row r="4035" spans="18:18" ht="13.8">
      <c r="R4035" s="10">
        <v>4007</v>
      </c>
    </row>
    <row r="4036" spans="18:18" ht="13.8">
      <c r="R4036" s="10">
        <v>4008</v>
      </c>
    </row>
    <row r="4037" spans="18:18" ht="13.8">
      <c r="R4037" s="10">
        <v>4009</v>
      </c>
    </row>
    <row r="4038" spans="18:18" ht="13.8">
      <c r="R4038" s="10">
        <v>4010</v>
      </c>
    </row>
    <row r="4039" spans="18:18" ht="13.8">
      <c r="R4039" s="10">
        <v>4011</v>
      </c>
    </row>
    <row r="4040" spans="18:18" ht="13.8">
      <c r="R4040" s="10">
        <v>4012</v>
      </c>
    </row>
    <row r="4041" spans="18:18" ht="13.8">
      <c r="R4041" s="10">
        <v>4013</v>
      </c>
    </row>
    <row r="4042" spans="18:18" ht="13.8">
      <c r="R4042" s="10">
        <v>4014</v>
      </c>
    </row>
    <row r="4043" spans="18:18" ht="13.8">
      <c r="R4043" s="10">
        <v>4015</v>
      </c>
    </row>
    <row r="4044" spans="18:18" ht="13.8">
      <c r="R4044" s="10">
        <v>4016</v>
      </c>
    </row>
    <row r="4045" spans="18:18" ht="13.8">
      <c r="R4045" s="10">
        <v>4017</v>
      </c>
    </row>
    <row r="4046" spans="18:18" ht="13.8">
      <c r="R4046" s="10">
        <v>4018</v>
      </c>
    </row>
    <row r="4047" spans="18:18" ht="13.8">
      <c r="R4047" s="10">
        <v>4019</v>
      </c>
    </row>
    <row r="4048" spans="18:18" ht="13.8">
      <c r="R4048" s="10">
        <v>4020</v>
      </c>
    </row>
    <row r="4049" spans="18:18" ht="13.8">
      <c r="R4049" s="10">
        <v>4021</v>
      </c>
    </row>
    <row r="4050" spans="18:18" ht="13.8">
      <c r="R4050" s="10">
        <v>4022</v>
      </c>
    </row>
    <row r="4051" spans="18:18" ht="13.8">
      <c r="R4051" s="10">
        <v>4023</v>
      </c>
    </row>
    <row r="4052" spans="18:18" ht="13.8">
      <c r="R4052" s="10">
        <v>4024</v>
      </c>
    </row>
    <row r="4053" spans="18:18" ht="13.8">
      <c r="R4053" s="10">
        <v>4025</v>
      </c>
    </row>
    <row r="4054" spans="18:18" ht="13.8">
      <c r="R4054" s="10">
        <v>4026</v>
      </c>
    </row>
    <row r="4055" spans="18:18" ht="13.8">
      <c r="R4055" s="10">
        <v>4027</v>
      </c>
    </row>
    <row r="4056" spans="18:18" ht="13.8">
      <c r="R4056" s="10">
        <v>4028</v>
      </c>
    </row>
    <row r="4057" spans="18:18" ht="13.8">
      <c r="R4057" s="10">
        <v>4029</v>
      </c>
    </row>
    <row r="4058" spans="18:18" ht="13.8">
      <c r="R4058" s="10">
        <v>4030</v>
      </c>
    </row>
    <row r="4059" spans="18:18" ht="13.8">
      <c r="R4059" s="10">
        <v>4031</v>
      </c>
    </row>
    <row r="4060" spans="18:18" ht="13.8">
      <c r="R4060" s="10">
        <v>4032</v>
      </c>
    </row>
    <row r="4061" spans="18:18" ht="13.8">
      <c r="R4061" s="10">
        <v>4033</v>
      </c>
    </row>
    <row r="4062" spans="18:18" ht="13.8">
      <c r="R4062" s="10">
        <v>4034</v>
      </c>
    </row>
    <row r="4063" spans="18:18" ht="13.8">
      <c r="R4063" s="10">
        <v>4035</v>
      </c>
    </row>
    <row r="4064" spans="18:18" ht="13.8">
      <c r="R4064" s="10">
        <v>4036</v>
      </c>
    </row>
    <row r="4065" spans="18:18" ht="13.8">
      <c r="R4065" s="10">
        <v>4037</v>
      </c>
    </row>
    <row r="4066" spans="18:18" ht="13.8">
      <c r="R4066" s="10">
        <v>4038</v>
      </c>
    </row>
    <row r="4067" spans="18:18" ht="13.8">
      <c r="R4067" s="10">
        <v>4039</v>
      </c>
    </row>
    <row r="4068" spans="18:18" ht="13.8">
      <c r="R4068" s="10">
        <v>4040</v>
      </c>
    </row>
    <row r="4069" spans="18:18" ht="13.8">
      <c r="R4069" s="10">
        <v>4041</v>
      </c>
    </row>
    <row r="4070" spans="18:18" ht="13.8">
      <c r="R4070" s="10">
        <v>4042</v>
      </c>
    </row>
    <row r="4071" spans="18:18" ht="13.8">
      <c r="R4071" s="10">
        <v>4043</v>
      </c>
    </row>
    <row r="4072" spans="18:18" ht="13.8">
      <c r="R4072" s="10">
        <v>4044</v>
      </c>
    </row>
    <row r="4073" spans="18:18" ht="13.8">
      <c r="R4073" s="10">
        <v>4045</v>
      </c>
    </row>
    <row r="4074" spans="18:18" ht="13.8">
      <c r="R4074" s="10">
        <v>4046</v>
      </c>
    </row>
    <row r="4075" spans="18:18" ht="13.8">
      <c r="R4075" s="10">
        <v>4047</v>
      </c>
    </row>
    <row r="4076" spans="18:18" ht="13.8">
      <c r="R4076" s="10">
        <v>4048</v>
      </c>
    </row>
    <row r="4077" spans="18:18" ht="13.8">
      <c r="R4077" s="10">
        <v>4049</v>
      </c>
    </row>
    <row r="4078" spans="18:18" ht="13.8">
      <c r="R4078" s="10">
        <v>4050</v>
      </c>
    </row>
    <row r="4079" spans="18:18" ht="13.8">
      <c r="R4079" s="10">
        <v>4051</v>
      </c>
    </row>
    <row r="4080" spans="18:18" ht="13.8">
      <c r="R4080" s="10">
        <v>4052</v>
      </c>
    </row>
    <row r="4081" spans="18:18" ht="13.8">
      <c r="R4081" s="10">
        <v>4053</v>
      </c>
    </row>
    <row r="4082" spans="18:18" ht="13.8">
      <c r="R4082" s="10">
        <v>4054</v>
      </c>
    </row>
    <row r="4083" spans="18:18" ht="13.8">
      <c r="R4083" s="10">
        <v>4055</v>
      </c>
    </row>
    <row r="4084" spans="18:18" ht="13.8">
      <c r="R4084" s="10">
        <v>4056</v>
      </c>
    </row>
    <row r="4085" spans="18:18" ht="13.8">
      <c r="R4085" s="10">
        <v>4057</v>
      </c>
    </row>
    <row r="4086" spans="18:18" ht="13.8">
      <c r="R4086" s="10">
        <v>4058</v>
      </c>
    </row>
    <row r="4087" spans="18:18" ht="13.8">
      <c r="R4087" s="10">
        <v>4059</v>
      </c>
    </row>
    <row r="4088" spans="18:18" ht="13.8">
      <c r="R4088" s="10">
        <v>4060</v>
      </c>
    </row>
    <row r="4089" spans="18:18" ht="13.8">
      <c r="R4089" s="10">
        <v>4061</v>
      </c>
    </row>
    <row r="4090" spans="18:18" ht="13.8">
      <c r="R4090" s="10">
        <v>4062</v>
      </c>
    </row>
    <row r="4091" spans="18:18" ht="13.8">
      <c r="R4091" s="10">
        <v>4063</v>
      </c>
    </row>
    <row r="4092" spans="18:18" ht="13.8">
      <c r="R4092" s="10">
        <v>4064</v>
      </c>
    </row>
    <row r="4093" spans="18:18" ht="13.8">
      <c r="R4093" s="10">
        <v>4065</v>
      </c>
    </row>
    <row r="4094" spans="18:18" ht="13.8">
      <c r="R4094" s="10">
        <v>4066</v>
      </c>
    </row>
    <row r="4095" spans="18:18" ht="13.8">
      <c r="R4095" s="10">
        <v>4067</v>
      </c>
    </row>
    <row r="4096" spans="18:18" ht="13.8">
      <c r="R4096" s="10">
        <v>4068</v>
      </c>
    </row>
    <row r="4097" spans="18:18" ht="13.8">
      <c r="R4097" s="10">
        <v>4069</v>
      </c>
    </row>
    <row r="4098" spans="18:18" ht="13.8">
      <c r="R4098" s="10">
        <v>4070</v>
      </c>
    </row>
    <row r="4099" spans="18:18" ht="13.8">
      <c r="R4099" s="10">
        <v>4071</v>
      </c>
    </row>
    <row r="4100" spans="18:18" ht="13.8">
      <c r="R4100" s="10">
        <v>4072</v>
      </c>
    </row>
    <row r="4101" spans="18:18" ht="13.8">
      <c r="R4101" s="10">
        <v>4073</v>
      </c>
    </row>
    <row r="4102" spans="18:18" ht="13.8">
      <c r="R4102" s="10">
        <v>4074</v>
      </c>
    </row>
    <row r="4103" spans="18:18" ht="13.8">
      <c r="R4103" s="10">
        <v>4075</v>
      </c>
    </row>
    <row r="4104" spans="18:18" ht="13.8">
      <c r="R4104" s="10">
        <v>4076</v>
      </c>
    </row>
    <row r="4105" spans="18:18" ht="13.8">
      <c r="R4105" s="10">
        <v>4077</v>
      </c>
    </row>
    <row r="4106" spans="18:18" ht="13.8">
      <c r="R4106" s="10">
        <v>4078</v>
      </c>
    </row>
    <row r="4107" spans="18:18" ht="13.8">
      <c r="R4107" s="10">
        <v>4079</v>
      </c>
    </row>
    <row r="4108" spans="18:18" ht="13.8">
      <c r="R4108" s="10">
        <v>4080</v>
      </c>
    </row>
    <row r="4109" spans="18:18" ht="13.8">
      <c r="R4109" s="10">
        <v>4081</v>
      </c>
    </row>
    <row r="4110" spans="18:18" ht="13.8">
      <c r="R4110" s="10">
        <v>4082</v>
      </c>
    </row>
    <row r="4111" spans="18:18" ht="13.8">
      <c r="R4111" s="10">
        <v>4083</v>
      </c>
    </row>
    <row r="4112" spans="18:18" ht="13.8">
      <c r="R4112" s="10">
        <v>4084</v>
      </c>
    </row>
    <row r="4113" spans="18:18" ht="13.8">
      <c r="R4113" s="10">
        <v>4085</v>
      </c>
    </row>
    <row r="4114" spans="18:18" ht="13.8">
      <c r="R4114" s="10">
        <v>4086</v>
      </c>
    </row>
    <row r="4115" spans="18:18" ht="13.8">
      <c r="R4115" s="10">
        <v>4087</v>
      </c>
    </row>
    <row r="4116" spans="18:18" ht="13.8">
      <c r="R4116" s="10">
        <v>4088</v>
      </c>
    </row>
    <row r="4117" spans="18:18" ht="13.8">
      <c r="R4117" s="10">
        <v>4089</v>
      </c>
    </row>
    <row r="4118" spans="18:18" ht="13.8">
      <c r="R4118" s="10">
        <v>4090</v>
      </c>
    </row>
    <row r="4119" spans="18:18" ht="13.8">
      <c r="R4119" s="10">
        <v>4091</v>
      </c>
    </row>
    <row r="4120" spans="18:18" ht="13.8">
      <c r="R4120" s="10">
        <v>4092</v>
      </c>
    </row>
    <row r="4121" spans="18:18" ht="13.8">
      <c r="R4121" s="10">
        <v>4093</v>
      </c>
    </row>
    <row r="4122" spans="18:18" ht="13.8">
      <c r="R4122" s="10">
        <v>4094</v>
      </c>
    </row>
    <row r="4123" spans="18:18" ht="13.8">
      <c r="R4123" s="10">
        <v>4095</v>
      </c>
    </row>
    <row r="4124" spans="18:18" ht="13.8">
      <c r="R4124" s="10">
        <v>4096</v>
      </c>
    </row>
    <row r="4125" spans="18:18" ht="13.8">
      <c r="R4125" s="10">
        <v>4097</v>
      </c>
    </row>
    <row r="4126" spans="18:18" ht="13.8">
      <c r="R4126" s="10">
        <v>4098</v>
      </c>
    </row>
    <row r="4127" spans="18:18" ht="13.8">
      <c r="R4127" s="10">
        <v>4099</v>
      </c>
    </row>
    <row r="4128" spans="18:18" ht="13.8">
      <c r="R4128" s="10">
        <v>4100</v>
      </c>
    </row>
    <row r="4129" spans="18:18" ht="13.8">
      <c r="R4129" s="10">
        <v>4101</v>
      </c>
    </row>
    <row r="4130" spans="18:18" ht="13.8">
      <c r="R4130" s="10">
        <v>4102</v>
      </c>
    </row>
    <row r="4131" spans="18:18" ht="13.8">
      <c r="R4131" s="10">
        <v>4103</v>
      </c>
    </row>
    <row r="4132" spans="18:18" ht="13.8">
      <c r="R4132" s="10">
        <v>4104</v>
      </c>
    </row>
    <row r="4133" spans="18:18" ht="13.8">
      <c r="R4133" s="10">
        <v>4105</v>
      </c>
    </row>
    <row r="4134" spans="18:18" ht="13.8">
      <c r="R4134" s="10">
        <v>4106</v>
      </c>
    </row>
    <row r="4135" spans="18:18" ht="13.8">
      <c r="R4135" s="10">
        <v>4107</v>
      </c>
    </row>
    <row r="4136" spans="18:18" ht="13.8">
      <c r="R4136" s="10">
        <v>4108</v>
      </c>
    </row>
    <row r="4137" spans="18:18" ht="13.8">
      <c r="R4137" s="10">
        <v>4109</v>
      </c>
    </row>
    <row r="4138" spans="18:18" ht="13.8">
      <c r="R4138" s="10">
        <v>4110</v>
      </c>
    </row>
    <row r="4139" spans="18:18" ht="13.8">
      <c r="R4139" s="10">
        <v>4111</v>
      </c>
    </row>
    <row r="4140" spans="18:18" ht="13.8">
      <c r="R4140" s="10">
        <v>4112</v>
      </c>
    </row>
    <row r="4141" spans="18:18" ht="13.8">
      <c r="R4141" s="10">
        <v>4113</v>
      </c>
    </row>
    <row r="4142" spans="18:18" ht="13.8">
      <c r="R4142" s="10">
        <v>4114</v>
      </c>
    </row>
    <row r="4143" spans="18:18" ht="13.8">
      <c r="R4143" s="10">
        <v>4115</v>
      </c>
    </row>
    <row r="4144" spans="18:18" ht="13.8">
      <c r="R4144" s="10">
        <v>4116</v>
      </c>
    </row>
    <row r="4145" spans="18:18" ht="13.8">
      <c r="R4145" s="10">
        <v>4117</v>
      </c>
    </row>
    <row r="4146" spans="18:18" ht="13.8">
      <c r="R4146" s="10">
        <v>4118</v>
      </c>
    </row>
    <row r="4147" spans="18:18" ht="13.8">
      <c r="R4147" s="10">
        <v>4119</v>
      </c>
    </row>
    <row r="4148" spans="18:18" ht="13.8">
      <c r="R4148" s="10">
        <v>4120</v>
      </c>
    </row>
    <row r="4149" spans="18:18" ht="13.8">
      <c r="R4149" s="10">
        <v>4121</v>
      </c>
    </row>
    <row r="4150" spans="18:18" ht="13.8">
      <c r="R4150" s="10">
        <v>4122</v>
      </c>
    </row>
    <row r="4151" spans="18:18" ht="13.8">
      <c r="R4151" s="10">
        <v>4123</v>
      </c>
    </row>
    <row r="4152" spans="18:18" ht="13.8">
      <c r="R4152" s="10">
        <v>4124</v>
      </c>
    </row>
    <row r="4153" spans="18:18" ht="13.8">
      <c r="R4153" s="10">
        <v>4125</v>
      </c>
    </row>
    <row r="4154" spans="18:18" ht="13.8">
      <c r="R4154" s="10">
        <v>4126</v>
      </c>
    </row>
    <row r="4155" spans="18:18" ht="13.8">
      <c r="R4155" s="10">
        <v>4127</v>
      </c>
    </row>
    <row r="4156" spans="18:18" ht="13.8">
      <c r="R4156" s="10">
        <v>4128</v>
      </c>
    </row>
    <row r="4157" spans="18:18" ht="13.8">
      <c r="R4157" s="10">
        <v>4129</v>
      </c>
    </row>
    <row r="4158" spans="18:18" ht="13.8">
      <c r="R4158" s="10">
        <v>4130</v>
      </c>
    </row>
    <row r="4159" spans="18:18" ht="13.8">
      <c r="R4159" s="10">
        <v>4131</v>
      </c>
    </row>
    <row r="4160" spans="18:18" ht="13.8">
      <c r="R4160" s="10">
        <v>4132</v>
      </c>
    </row>
    <row r="4161" spans="18:18" ht="13.8">
      <c r="R4161" s="10">
        <v>4133</v>
      </c>
    </row>
    <row r="4162" spans="18:18" ht="13.8">
      <c r="R4162" s="10">
        <v>4134</v>
      </c>
    </row>
    <row r="4163" spans="18:18" ht="13.8">
      <c r="R4163" s="10">
        <v>4135</v>
      </c>
    </row>
    <row r="4164" spans="18:18" ht="13.8">
      <c r="R4164" s="10">
        <v>4136</v>
      </c>
    </row>
    <row r="4165" spans="18:18" ht="13.8">
      <c r="R4165" s="10">
        <v>4137</v>
      </c>
    </row>
    <row r="4166" spans="18:18" ht="13.8">
      <c r="R4166" s="10">
        <v>4138</v>
      </c>
    </row>
    <row r="4167" spans="18:18" ht="13.8">
      <c r="R4167" s="10">
        <v>4139</v>
      </c>
    </row>
    <row r="4168" spans="18:18" ht="13.8">
      <c r="R4168" s="10">
        <v>4140</v>
      </c>
    </row>
    <row r="4169" spans="18:18" ht="13.8">
      <c r="R4169" s="10">
        <v>4141</v>
      </c>
    </row>
    <row r="4170" spans="18:18" ht="13.8">
      <c r="R4170" s="10">
        <v>4142</v>
      </c>
    </row>
    <row r="4171" spans="18:18" ht="13.8">
      <c r="R4171" s="10">
        <v>4143</v>
      </c>
    </row>
    <row r="4172" spans="18:18" ht="13.8">
      <c r="R4172" s="10">
        <v>4144</v>
      </c>
    </row>
    <row r="4173" spans="18:18" ht="13.8">
      <c r="R4173" s="10">
        <v>4145</v>
      </c>
    </row>
    <row r="4174" spans="18:18" ht="13.8">
      <c r="R4174" s="10">
        <v>4146</v>
      </c>
    </row>
    <row r="4175" spans="18:18" ht="13.8">
      <c r="R4175" s="10">
        <v>4147</v>
      </c>
    </row>
    <row r="4176" spans="18:18" ht="13.8">
      <c r="R4176" s="10">
        <v>4148</v>
      </c>
    </row>
    <row r="4177" spans="18:18" ht="13.8">
      <c r="R4177" s="10">
        <v>4149</v>
      </c>
    </row>
    <row r="4178" spans="18:18" ht="13.8">
      <c r="R4178" s="10">
        <v>4150</v>
      </c>
    </row>
    <row r="4179" spans="18:18" ht="13.8">
      <c r="R4179" s="10">
        <v>4151</v>
      </c>
    </row>
    <row r="4180" spans="18:18" ht="13.8">
      <c r="R4180" s="10">
        <v>4152</v>
      </c>
    </row>
    <row r="4181" spans="18:18" ht="13.8">
      <c r="R4181" s="10">
        <v>4153</v>
      </c>
    </row>
    <row r="4182" spans="18:18" ht="13.8">
      <c r="R4182" s="10">
        <v>4154</v>
      </c>
    </row>
    <row r="4183" spans="18:18" ht="13.8">
      <c r="R4183" s="10">
        <v>4155</v>
      </c>
    </row>
    <row r="4184" spans="18:18" ht="13.8">
      <c r="R4184" s="10">
        <v>4156</v>
      </c>
    </row>
    <row r="4185" spans="18:18" ht="13.8">
      <c r="R4185" s="10">
        <v>4157</v>
      </c>
    </row>
    <row r="4186" spans="18:18" ht="13.8">
      <c r="R4186" s="10">
        <v>4158</v>
      </c>
    </row>
    <row r="4187" spans="18:18" ht="13.8">
      <c r="R4187" s="10">
        <v>4159</v>
      </c>
    </row>
    <row r="4188" spans="18:18" ht="13.8">
      <c r="R4188" s="10">
        <v>4160</v>
      </c>
    </row>
    <row r="4189" spans="18:18" ht="13.8">
      <c r="R4189" s="10">
        <v>4161</v>
      </c>
    </row>
    <row r="4190" spans="18:18" ht="13.8">
      <c r="R4190" s="10">
        <v>4162</v>
      </c>
    </row>
    <row r="4191" spans="18:18" ht="13.8">
      <c r="R4191" s="10">
        <v>4163</v>
      </c>
    </row>
    <row r="4192" spans="18:18" ht="13.8">
      <c r="R4192" s="10">
        <v>4164</v>
      </c>
    </row>
    <row r="4193" spans="18:18" ht="13.8">
      <c r="R4193" s="10">
        <v>4165</v>
      </c>
    </row>
    <row r="4194" spans="18:18" ht="13.8">
      <c r="R4194" s="10">
        <v>4166</v>
      </c>
    </row>
    <row r="4195" spans="18:18" ht="13.8">
      <c r="R4195" s="10">
        <v>4167</v>
      </c>
    </row>
    <row r="4196" spans="18:18" ht="13.8">
      <c r="R4196" s="10">
        <v>4168</v>
      </c>
    </row>
    <row r="4197" spans="18:18" ht="13.8">
      <c r="R4197" s="10">
        <v>4169</v>
      </c>
    </row>
    <row r="4198" spans="18:18" ht="13.8">
      <c r="R4198" s="10">
        <v>4170</v>
      </c>
    </row>
    <row r="4199" spans="18:18" ht="13.8">
      <c r="R4199" s="10">
        <v>4171</v>
      </c>
    </row>
    <row r="4200" spans="18:18" ht="13.8">
      <c r="R4200" s="10">
        <v>4172</v>
      </c>
    </row>
    <row r="4201" spans="18:18" ht="13.8">
      <c r="R4201" s="10">
        <v>4173</v>
      </c>
    </row>
    <row r="4202" spans="18:18" ht="13.8">
      <c r="R4202" s="10">
        <v>4174</v>
      </c>
    </row>
    <row r="4203" spans="18:18" ht="13.8">
      <c r="R4203" s="10">
        <v>4175</v>
      </c>
    </row>
    <row r="4204" spans="18:18" ht="13.8">
      <c r="R4204" s="10">
        <v>4176</v>
      </c>
    </row>
    <row r="4205" spans="18:18" ht="13.8">
      <c r="R4205" s="10">
        <v>4177</v>
      </c>
    </row>
    <row r="4206" spans="18:18" ht="13.8">
      <c r="R4206" s="10">
        <v>4178</v>
      </c>
    </row>
    <row r="4207" spans="18:18" ht="13.8">
      <c r="R4207" s="10">
        <v>4179</v>
      </c>
    </row>
    <row r="4208" spans="18:18" ht="13.8">
      <c r="R4208" s="10">
        <v>4180</v>
      </c>
    </row>
    <row r="4209" spans="18:18" ht="13.8">
      <c r="R4209" s="10">
        <v>4181</v>
      </c>
    </row>
    <row r="4210" spans="18:18" ht="13.8">
      <c r="R4210" s="10">
        <v>4182</v>
      </c>
    </row>
    <row r="4211" spans="18:18" ht="13.8">
      <c r="R4211" s="10">
        <v>4183</v>
      </c>
    </row>
    <row r="4212" spans="18:18" ht="13.8">
      <c r="R4212" s="10">
        <v>4184</v>
      </c>
    </row>
    <row r="4213" spans="18:18" ht="13.8">
      <c r="R4213" s="10">
        <v>4185</v>
      </c>
    </row>
    <row r="4214" spans="18:18" ht="13.8">
      <c r="R4214" s="10">
        <v>4186</v>
      </c>
    </row>
    <row r="4215" spans="18:18" ht="13.8">
      <c r="R4215" s="10">
        <v>4187</v>
      </c>
    </row>
    <row r="4216" spans="18:18" ht="13.8">
      <c r="R4216" s="10">
        <v>4188</v>
      </c>
    </row>
    <row r="4217" spans="18:18" ht="13.8">
      <c r="R4217" s="10">
        <v>4189</v>
      </c>
    </row>
    <row r="4218" spans="18:18" ht="13.8">
      <c r="R4218" s="10">
        <v>4190</v>
      </c>
    </row>
    <row r="4219" spans="18:18" ht="13.8">
      <c r="R4219" s="10">
        <v>4191</v>
      </c>
    </row>
    <row r="4220" spans="18:18" ht="13.8">
      <c r="R4220" s="10">
        <v>4192</v>
      </c>
    </row>
    <row r="4221" spans="18:18" ht="13.8">
      <c r="R4221" s="10">
        <v>4193</v>
      </c>
    </row>
    <row r="4222" spans="18:18" ht="13.8">
      <c r="R4222" s="10">
        <v>4194</v>
      </c>
    </row>
    <row r="4223" spans="18:18" ht="13.8">
      <c r="R4223" s="10">
        <v>4195</v>
      </c>
    </row>
    <row r="4224" spans="18:18" ht="13.8">
      <c r="R4224" s="10">
        <v>4196</v>
      </c>
    </row>
    <row r="4225" spans="18:18" ht="13.8">
      <c r="R4225" s="10">
        <v>4197</v>
      </c>
    </row>
    <row r="4226" spans="18:18" ht="13.8">
      <c r="R4226" s="10">
        <v>4198</v>
      </c>
    </row>
    <row r="4227" spans="18:18" ht="13.8">
      <c r="R4227" s="10">
        <v>4199</v>
      </c>
    </row>
    <row r="4228" spans="18:18" ht="13.8">
      <c r="R4228" s="10">
        <v>4200</v>
      </c>
    </row>
    <row r="4229" spans="18:18" ht="13.8">
      <c r="R4229" s="10">
        <v>4201</v>
      </c>
    </row>
    <row r="4230" spans="18:18" ht="13.8">
      <c r="R4230" s="10">
        <v>4202</v>
      </c>
    </row>
    <row r="4231" spans="18:18" ht="13.8">
      <c r="R4231" s="10">
        <v>4203</v>
      </c>
    </row>
    <row r="4232" spans="18:18" ht="13.8">
      <c r="R4232" s="10">
        <v>4204</v>
      </c>
    </row>
    <row r="4233" spans="18:18" ht="13.8">
      <c r="R4233" s="10">
        <v>4205</v>
      </c>
    </row>
    <row r="4234" spans="18:18" ht="13.8">
      <c r="R4234" s="10">
        <v>4206</v>
      </c>
    </row>
    <row r="4235" spans="18:18" ht="13.8">
      <c r="R4235" s="10">
        <v>4207</v>
      </c>
    </row>
    <row r="4236" spans="18:18" ht="13.8">
      <c r="R4236" s="10">
        <v>4208</v>
      </c>
    </row>
    <row r="4237" spans="18:18" ht="13.8">
      <c r="R4237" s="10">
        <v>4209</v>
      </c>
    </row>
    <row r="4238" spans="18:18" ht="13.8">
      <c r="R4238" s="10">
        <v>4210</v>
      </c>
    </row>
    <row r="4239" spans="18:18" ht="13.8">
      <c r="R4239" s="10">
        <v>4211</v>
      </c>
    </row>
    <row r="4240" spans="18:18" ht="13.8">
      <c r="R4240" s="10">
        <v>4212</v>
      </c>
    </row>
    <row r="4241" spans="18:18" ht="13.8">
      <c r="R4241" s="10">
        <v>4213</v>
      </c>
    </row>
    <row r="4242" spans="18:18" ht="13.8">
      <c r="R4242" s="10">
        <v>4214</v>
      </c>
    </row>
    <row r="4243" spans="18:18" ht="13.8">
      <c r="R4243" s="10">
        <v>4215</v>
      </c>
    </row>
    <row r="4244" spans="18:18" ht="13.8">
      <c r="R4244" s="10">
        <v>4216</v>
      </c>
    </row>
    <row r="4245" spans="18:18" ht="13.8">
      <c r="R4245" s="10">
        <v>4217</v>
      </c>
    </row>
    <row r="4246" spans="18:18" ht="13.8">
      <c r="R4246" s="10">
        <v>4218</v>
      </c>
    </row>
    <row r="4247" spans="18:18" ht="13.8">
      <c r="R4247" s="10">
        <v>4219</v>
      </c>
    </row>
    <row r="4248" spans="18:18" ht="13.8">
      <c r="R4248" s="10">
        <v>4220</v>
      </c>
    </row>
    <row r="4249" spans="18:18" ht="13.8">
      <c r="R4249" s="10">
        <v>4221</v>
      </c>
    </row>
    <row r="4250" spans="18:18" ht="13.8">
      <c r="R4250" s="10">
        <v>4222</v>
      </c>
    </row>
    <row r="4251" spans="18:18" ht="13.8">
      <c r="R4251" s="10">
        <v>4223</v>
      </c>
    </row>
    <row r="4252" spans="18:18" ht="13.8">
      <c r="R4252" s="10">
        <v>4224</v>
      </c>
    </row>
    <row r="4253" spans="18:18" ht="13.8">
      <c r="R4253" s="10">
        <v>4225</v>
      </c>
    </row>
    <row r="4254" spans="18:18" ht="13.8">
      <c r="R4254" s="10">
        <v>4226</v>
      </c>
    </row>
    <row r="4255" spans="18:18" ht="13.8">
      <c r="R4255" s="10">
        <v>4227</v>
      </c>
    </row>
    <row r="4256" spans="18:18" ht="13.8">
      <c r="R4256" s="10">
        <v>4228</v>
      </c>
    </row>
    <row r="4257" spans="18:18" ht="13.8">
      <c r="R4257" s="10">
        <v>4229</v>
      </c>
    </row>
    <row r="4258" spans="18:18" ht="13.8">
      <c r="R4258" s="10">
        <v>4230</v>
      </c>
    </row>
    <row r="4259" spans="18:18" ht="13.8">
      <c r="R4259" s="10">
        <v>4231</v>
      </c>
    </row>
    <row r="4260" spans="18:18" ht="13.8">
      <c r="R4260" s="10">
        <v>4232</v>
      </c>
    </row>
    <row r="4261" spans="18:18" ht="13.8">
      <c r="R4261" s="10">
        <v>4233</v>
      </c>
    </row>
    <row r="4262" spans="18:18" ht="13.8">
      <c r="R4262" s="10">
        <v>4234</v>
      </c>
    </row>
    <row r="4263" spans="18:18" ht="13.8">
      <c r="R4263" s="10">
        <v>4235</v>
      </c>
    </row>
    <row r="4264" spans="18:18" ht="13.8">
      <c r="R4264" s="10">
        <v>4236</v>
      </c>
    </row>
    <row r="4265" spans="18:18" ht="13.8">
      <c r="R4265" s="10">
        <v>4237</v>
      </c>
    </row>
    <row r="4266" spans="18:18" ht="13.8">
      <c r="R4266" s="10">
        <v>4238</v>
      </c>
    </row>
    <row r="4267" spans="18:18" ht="13.8">
      <c r="R4267" s="10">
        <v>4239</v>
      </c>
    </row>
    <row r="4268" spans="18:18" ht="13.8">
      <c r="R4268" s="10">
        <v>4240</v>
      </c>
    </row>
    <row r="4269" spans="18:18" ht="13.8">
      <c r="R4269" s="10">
        <v>4241</v>
      </c>
    </row>
    <row r="4270" spans="18:18" ht="13.8">
      <c r="R4270" s="10">
        <v>4242</v>
      </c>
    </row>
    <row r="4271" spans="18:18" ht="13.8">
      <c r="R4271" s="10">
        <v>4243</v>
      </c>
    </row>
    <row r="4272" spans="18:18" ht="13.8">
      <c r="R4272" s="10">
        <v>4244</v>
      </c>
    </row>
    <row r="4273" spans="18:18" ht="13.8">
      <c r="R4273" s="10">
        <v>4245</v>
      </c>
    </row>
    <row r="4274" spans="18:18" ht="13.8">
      <c r="R4274" s="10">
        <v>4246</v>
      </c>
    </row>
    <row r="4275" spans="18:18" ht="13.8">
      <c r="R4275" s="10">
        <v>4247</v>
      </c>
    </row>
    <row r="4276" spans="18:18" ht="13.8">
      <c r="R4276" s="10">
        <v>4248</v>
      </c>
    </row>
    <row r="4277" spans="18:18" ht="13.8">
      <c r="R4277" s="10">
        <v>4249</v>
      </c>
    </row>
    <row r="4278" spans="18:18" ht="13.8">
      <c r="R4278" s="10">
        <v>4250</v>
      </c>
    </row>
    <row r="4279" spans="18:18" ht="13.8">
      <c r="R4279" s="10">
        <v>4251</v>
      </c>
    </row>
    <row r="4280" spans="18:18" ht="13.8">
      <c r="R4280" s="10">
        <v>4252</v>
      </c>
    </row>
    <row r="4281" spans="18:18" ht="13.8">
      <c r="R4281" s="10">
        <v>4253</v>
      </c>
    </row>
    <row r="4282" spans="18:18" ht="13.8">
      <c r="R4282" s="10">
        <v>4254</v>
      </c>
    </row>
    <row r="4283" spans="18:18" ht="13.8">
      <c r="R4283" s="10">
        <v>4255</v>
      </c>
    </row>
    <row r="4284" spans="18:18" ht="13.8">
      <c r="R4284" s="10">
        <v>4256</v>
      </c>
    </row>
    <row r="4285" spans="18:18" ht="13.8">
      <c r="R4285" s="10">
        <v>4257</v>
      </c>
    </row>
    <row r="4286" spans="18:18" ht="13.8">
      <c r="R4286" s="10">
        <v>4258</v>
      </c>
    </row>
    <row r="4287" spans="18:18" ht="13.8">
      <c r="R4287" s="10">
        <v>4259</v>
      </c>
    </row>
    <row r="4288" spans="18:18" ht="13.8">
      <c r="R4288" s="10">
        <v>4260</v>
      </c>
    </row>
    <row r="4289" spans="18:18" ht="13.8">
      <c r="R4289" s="10">
        <v>4261</v>
      </c>
    </row>
    <row r="4290" spans="18:18" ht="13.8">
      <c r="R4290" s="10">
        <v>4262</v>
      </c>
    </row>
    <row r="4291" spans="18:18" ht="13.8">
      <c r="R4291" s="10">
        <v>4263</v>
      </c>
    </row>
    <row r="4292" spans="18:18" ht="13.8">
      <c r="R4292" s="10">
        <v>4264</v>
      </c>
    </row>
    <row r="4293" spans="18:18" ht="13.8">
      <c r="R4293" s="10">
        <v>4265</v>
      </c>
    </row>
    <row r="4294" spans="18:18" ht="13.8">
      <c r="R4294" s="10">
        <v>4266</v>
      </c>
    </row>
    <row r="4295" spans="18:18" ht="13.8">
      <c r="R4295" s="10">
        <v>4267</v>
      </c>
    </row>
    <row r="4296" spans="18:18" ht="13.8">
      <c r="R4296" s="10">
        <v>4268</v>
      </c>
    </row>
    <row r="4297" spans="18:18" ht="13.8">
      <c r="R4297" s="10">
        <v>4269</v>
      </c>
    </row>
    <row r="4298" spans="18:18" ht="13.8">
      <c r="R4298" s="10">
        <v>4270</v>
      </c>
    </row>
    <row r="4299" spans="18:18" ht="13.8">
      <c r="R4299" s="10">
        <v>4271</v>
      </c>
    </row>
    <row r="4300" spans="18:18" ht="13.8">
      <c r="R4300" s="10">
        <v>4272</v>
      </c>
    </row>
    <row r="4301" spans="18:18" ht="13.8">
      <c r="R4301" s="10">
        <v>4273</v>
      </c>
    </row>
    <row r="4302" spans="18:18" ht="13.8">
      <c r="R4302" s="10">
        <v>4274</v>
      </c>
    </row>
    <row r="4303" spans="18:18" ht="13.8">
      <c r="R4303" s="10">
        <v>4275</v>
      </c>
    </row>
    <row r="4304" spans="18:18" ht="13.8">
      <c r="R4304" s="10">
        <v>4276</v>
      </c>
    </row>
    <row r="4305" spans="18:18" ht="13.8">
      <c r="R4305" s="10">
        <v>4277</v>
      </c>
    </row>
    <row r="4306" spans="18:18" ht="13.8">
      <c r="R4306" s="10">
        <v>4278</v>
      </c>
    </row>
    <row r="4307" spans="18:18" ht="13.8">
      <c r="R4307" s="10">
        <v>4279</v>
      </c>
    </row>
    <row r="4308" spans="18:18" ht="13.8">
      <c r="R4308" s="10">
        <v>4280</v>
      </c>
    </row>
    <row r="4309" spans="18:18" ht="13.8">
      <c r="R4309" s="10">
        <v>4281</v>
      </c>
    </row>
    <row r="4310" spans="18:18" ht="13.8">
      <c r="R4310" s="10">
        <v>4282</v>
      </c>
    </row>
    <row r="4311" spans="18:18" ht="13.8">
      <c r="R4311" s="10">
        <v>4283</v>
      </c>
    </row>
    <row r="4312" spans="18:18" ht="13.8">
      <c r="R4312" s="10">
        <v>4284</v>
      </c>
    </row>
    <row r="4313" spans="18:18" ht="13.8">
      <c r="R4313" s="10">
        <v>4285</v>
      </c>
    </row>
    <row r="4314" spans="18:18" ht="13.8">
      <c r="R4314" s="10">
        <v>4286</v>
      </c>
    </row>
    <row r="4315" spans="18:18" ht="13.8">
      <c r="R4315" s="10">
        <v>4287</v>
      </c>
    </row>
    <row r="4316" spans="18:18" ht="13.8">
      <c r="R4316" s="10">
        <v>4288</v>
      </c>
    </row>
    <row r="4317" spans="18:18" ht="13.8">
      <c r="R4317" s="10">
        <v>4289</v>
      </c>
    </row>
    <row r="4318" spans="18:18" ht="13.8">
      <c r="R4318" s="10">
        <v>4290</v>
      </c>
    </row>
    <row r="4319" spans="18:18" ht="13.8">
      <c r="R4319" s="10">
        <v>4291</v>
      </c>
    </row>
    <row r="4320" spans="18:18" ht="13.8">
      <c r="R4320" s="10">
        <v>4292</v>
      </c>
    </row>
    <row r="4321" spans="18:18" ht="13.8">
      <c r="R4321" s="10">
        <v>4293</v>
      </c>
    </row>
    <row r="4322" spans="18:18" ht="13.8">
      <c r="R4322" s="10">
        <v>4294</v>
      </c>
    </row>
    <row r="4323" spans="18:18" ht="13.8">
      <c r="R4323" s="10">
        <v>4295</v>
      </c>
    </row>
    <row r="4324" spans="18:18" ht="13.8">
      <c r="R4324" s="10">
        <v>4296</v>
      </c>
    </row>
    <row r="4325" spans="18:18" ht="13.8">
      <c r="R4325" s="10">
        <v>4297</v>
      </c>
    </row>
    <row r="4326" spans="18:18" ht="13.8">
      <c r="R4326" s="10">
        <v>4298</v>
      </c>
    </row>
    <row r="4327" spans="18:18" ht="13.8">
      <c r="R4327" s="10">
        <v>4299</v>
      </c>
    </row>
    <row r="4328" spans="18:18" ht="13.8">
      <c r="R4328" s="10">
        <v>4300</v>
      </c>
    </row>
    <row r="4329" spans="18:18" ht="13.8">
      <c r="R4329" s="10">
        <v>4301</v>
      </c>
    </row>
    <row r="4330" spans="18:18" ht="13.8">
      <c r="R4330" s="10">
        <v>4302</v>
      </c>
    </row>
    <row r="4331" spans="18:18" ht="13.8">
      <c r="R4331" s="10">
        <v>4303</v>
      </c>
    </row>
    <row r="4332" spans="18:18" ht="13.8">
      <c r="R4332" s="10">
        <v>4304</v>
      </c>
    </row>
    <row r="4333" spans="18:18" ht="13.8">
      <c r="R4333" s="10">
        <v>4305</v>
      </c>
    </row>
    <row r="4334" spans="18:18" ht="13.8">
      <c r="R4334" s="10">
        <v>4306</v>
      </c>
    </row>
    <row r="4335" spans="18:18" ht="13.8">
      <c r="R4335" s="10">
        <v>4307</v>
      </c>
    </row>
    <row r="4336" spans="18:18" ht="13.8">
      <c r="R4336" s="10">
        <v>4308</v>
      </c>
    </row>
    <row r="4337" spans="18:18" ht="13.8">
      <c r="R4337" s="10">
        <v>4309</v>
      </c>
    </row>
    <row r="4338" spans="18:18" ht="13.8">
      <c r="R4338" s="10">
        <v>4310</v>
      </c>
    </row>
    <row r="4339" spans="18:18" ht="13.8">
      <c r="R4339" s="10">
        <v>4311</v>
      </c>
    </row>
    <row r="4340" spans="18:18" ht="13.8">
      <c r="R4340" s="10">
        <v>4312</v>
      </c>
    </row>
    <row r="4341" spans="18:18" ht="13.8">
      <c r="R4341" s="10">
        <v>4313</v>
      </c>
    </row>
    <row r="4342" spans="18:18" ht="13.8">
      <c r="R4342" s="10">
        <v>4314</v>
      </c>
    </row>
    <row r="4343" spans="18:18" ht="13.8">
      <c r="R4343" s="10">
        <v>4315</v>
      </c>
    </row>
    <row r="4344" spans="18:18" ht="13.8">
      <c r="R4344" s="10">
        <v>4316</v>
      </c>
    </row>
    <row r="4345" spans="18:18" ht="13.8">
      <c r="R4345" s="10">
        <v>4317</v>
      </c>
    </row>
    <row r="4346" spans="18:18" ht="13.8">
      <c r="R4346" s="10">
        <v>4318</v>
      </c>
    </row>
    <row r="4347" spans="18:18" ht="13.8">
      <c r="R4347" s="10">
        <v>4319</v>
      </c>
    </row>
    <row r="4348" spans="18:18" ht="13.8">
      <c r="R4348" s="10">
        <v>4320</v>
      </c>
    </row>
    <row r="4349" spans="18:18" ht="13.8">
      <c r="R4349" s="10">
        <v>4321</v>
      </c>
    </row>
    <row r="4350" spans="18:18" ht="13.8">
      <c r="R4350" s="10">
        <v>4322</v>
      </c>
    </row>
    <row r="4351" spans="18:18" ht="13.8">
      <c r="R4351" s="10">
        <v>4323</v>
      </c>
    </row>
    <row r="4352" spans="18:18" ht="13.8">
      <c r="R4352" s="10">
        <v>4324</v>
      </c>
    </row>
    <row r="4353" spans="18:18" ht="13.8">
      <c r="R4353" s="10">
        <v>4325</v>
      </c>
    </row>
    <row r="4354" spans="18:18" ht="13.8">
      <c r="R4354" s="10">
        <v>4326</v>
      </c>
    </row>
    <row r="4355" spans="18:18" ht="13.8">
      <c r="R4355" s="10">
        <v>4327</v>
      </c>
    </row>
    <row r="4356" spans="18:18" ht="13.8">
      <c r="R4356" s="10">
        <v>4328</v>
      </c>
    </row>
    <row r="4357" spans="18:18" ht="13.8">
      <c r="R4357" s="10">
        <v>4329</v>
      </c>
    </row>
    <row r="4358" spans="18:18" ht="13.8">
      <c r="R4358" s="10">
        <v>4330</v>
      </c>
    </row>
    <row r="4359" spans="18:18" ht="13.8">
      <c r="R4359" s="10">
        <v>4331</v>
      </c>
    </row>
    <row r="4360" spans="18:18" ht="13.8">
      <c r="R4360" s="10">
        <v>4332</v>
      </c>
    </row>
    <row r="4361" spans="18:18" ht="13.8">
      <c r="R4361" s="10">
        <v>4333</v>
      </c>
    </row>
    <row r="4362" spans="18:18" ht="13.8">
      <c r="R4362" s="10">
        <v>4334</v>
      </c>
    </row>
    <row r="4363" spans="18:18" ht="13.8">
      <c r="R4363" s="10">
        <v>4335</v>
      </c>
    </row>
    <row r="4364" spans="18:18" ht="13.8">
      <c r="R4364" s="10">
        <v>4336</v>
      </c>
    </row>
    <row r="4365" spans="18:18" ht="13.8">
      <c r="R4365" s="10">
        <v>4337</v>
      </c>
    </row>
    <row r="4366" spans="18:18" ht="13.8">
      <c r="R4366" s="10">
        <v>4338</v>
      </c>
    </row>
    <row r="4367" spans="18:18" ht="13.8">
      <c r="R4367" s="10">
        <v>4339</v>
      </c>
    </row>
    <row r="4368" spans="18:18" ht="13.8">
      <c r="R4368" s="10">
        <v>4340</v>
      </c>
    </row>
    <row r="4369" spans="18:18" ht="13.8">
      <c r="R4369" s="10">
        <v>4341</v>
      </c>
    </row>
    <row r="4370" spans="18:18" ht="13.8">
      <c r="R4370" s="10">
        <v>4342</v>
      </c>
    </row>
    <row r="4371" spans="18:18" ht="13.8">
      <c r="R4371" s="10">
        <v>4343</v>
      </c>
    </row>
    <row r="4372" spans="18:18" ht="13.8">
      <c r="R4372" s="10">
        <v>4344</v>
      </c>
    </row>
    <row r="4373" spans="18:18" ht="13.8">
      <c r="R4373" s="10">
        <v>4345</v>
      </c>
    </row>
    <row r="4374" spans="18:18" ht="13.8">
      <c r="R4374" s="10">
        <v>4346</v>
      </c>
    </row>
    <row r="4375" spans="18:18" ht="13.8">
      <c r="R4375" s="10">
        <v>4347</v>
      </c>
    </row>
    <row r="4376" spans="18:18" ht="13.8">
      <c r="R4376" s="10">
        <v>4348</v>
      </c>
    </row>
    <row r="4377" spans="18:18" ht="13.8">
      <c r="R4377" s="10">
        <v>4349</v>
      </c>
    </row>
    <row r="4378" spans="18:18" ht="13.8">
      <c r="R4378" s="10">
        <v>4350</v>
      </c>
    </row>
    <row r="4379" spans="18:18" ht="13.8">
      <c r="R4379" s="10">
        <v>4351</v>
      </c>
    </row>
    <row r="4380" spans="18:18" ht="13.8">
      <c r="R4380" s="10">
        <v>4352</v>
      </c>
    </row>
    <row r="4381" spans="18:18" ht="13.8">
      <c r="R4381" s="10">
        <v>4353</v>
      </c>
    </row>
    <row r="4382" spans="18:18" ht="13.8">
      <c r="R4382" s="10">
        <v>4354</v>
      </c>
    </row>
    <row r="4383" spans="18:18" ht="13.8">
      <c r="R4383" s="10">
        <v>4355</v>
      </c>
    </row>
    <row r="4384" spans="18:18" ht="13.8">
      <c r="R4384" s="10">
        <v>4356</v>
      </c>
    </row>
    <row r="4385" spans="18:18" ht="13.8">
      <c r="R4385" s="10">
        <v>4357</v>
      </c>
    </row>
    <row r="4386" spans="18:18" ht="13.8">
      <c r="R4386" s="10">
        <v>4358</v>
      </c>
    </row>
    <row r="4387" spans="18:18" ht="13.8">
      <c r="R4387" s="10">
        <v>4359</v>
      </c>
    </row>
    <row r="4388" spans="18:18" ht="13.8">
      <c r="R4388" s="10">
        <v>4360</v>
      </c>
    </row>
    <row r="4389" spans="18:18" ht="13.8">
      <c r="R4389" s="10">
        <v>4361</v>
      </c>
    </row>
    <row r="4390" spans="18:18" ht="13.8">
      <c r="R4390" s="10">
        <v>4362</v>
      </c>
    </row>
    <row r="4391" spans="18:18" ht="13.8">
      <c r="R4391" s="10">
        <v>4363</v>
      </c>
    </row>
    <row r="4392" spans="18:18" ht="13.8">
      <c r="R4392" s="10">
        <v>4364</v>
      </c>
    </row>
    <row r="4393" spans="18:18" ht="13.8">
      <c r="R4393" s="10">
        <v>4365</v>
      </c>
    </row>
    <row r="4394" spans="18:18" ht="13.8">
      <c r="R4394" s="10">
        <v>4366</v>
      </c>
    </row>
    <row r="4395" spans="18:18" ht="13.8">
      <c r="R4395" s="10">
        <v>4367</v>
      </c>
    </row>
    <row r="4396" spans="18:18" ht="13.8">
      <c r="R4396" s="10">
        <v>4368</v>
      </c>
    </row>
    <row r="4397" spans="18:18" ht="13.8">
      <c r="R4397" s="10">
        <v>4369</v>
      </c>
    </row>
    <row r="4398" spans="18:18" ht="13.8">
      <c r="R4398" s="10">
        <v>4370</v>
      </c>
    </row>
    <row r="4399" spans="18:18" ht="13.8">
      <c r="R4399" s="10">
        <v>4371</v>
      </c>
    </row>
    <row r="4400" spans="18:18" ht="13.8">
      <c r="R4400" s="10">
        <v>4372</v>
      </c>
    </row>
    <row r="4401" spans="18:18" ht="13.8">
      <c r="R4401" s="10">
        <v>4373</v>
      </c>
    </row>
    <row r="4402" spans="18:18" ht="13.8">
      <c r="R4402" s="10">
        <v>4374</v>
      </c>
    </row>
    <row r="4403" spans="18:18" ht="13.8">
      <c r="R4403" s="10">
        <v>4375</v>
      </c>
    </row>
    <row r="4404" spans="18:18" ht="13.8">
      <c r="R4404" s="10">
        <v>4376</v>
      </c>
    </row>
    <row r="4405" spans="18:18" ht="13.8">
      <c r="R4405" s="10">
        <v>4377</v>
      </c>
    </row>
    <row r="4406" spans="18:18" ht="13.8">
      <c r="R4406" s="10">
        <v>4378</v>
      </c>
    </row>
    <row r="4407" spans="18:18" ht="13.8">
      <c r="R4407" s="10">
        <v>4379</v>
      </c>
    </row>
    <row r="4408" spans="18:18" ht="13.8">
      <c r="R4408" s="10">
        <v>4380</v>
      </c>
    </row>
    <row r="4409" spans="18:18" ht="13.8">
      <c r="R4409" s="10">
        <v>4381</v>
      </c>
    </row>
    <row r="4410" spans="18:18" ht="13.8">
      <c r="R4410" s="10">
        <v>4382</v>
      </c>
    </row>
    <row r="4411" spans="18:18" ht="13.8">
      <c r="R4411" s="10">
        <v>4383</v>
      </c>
    </row>
    <row r="4412" spans="18:18" ht="13.8">
      <c r="R4412" s="10">
        <v>4384</v>
      </c>
    </row>
    <row r="4413" spans="18:18" ht="13.8">
      <c r="R4413" s="10">
        <v>4385</v>
      </c>
    </row>
    <row r="4414" spans="18:18" ht="13.8">
      <c r="R4414" s="10">
        <v>4386</v>
      </c>
    </row>
    <row r="4415" spans="18:18" ht="13.8">
      <c r="R4415" s="10">
        <v>4387</v>
      </c>
    </row>
    <row r="4416" spans="18:18" ht="13.8">
      <c r="R4416" s="10">
        <v>4388</v>
      </c>
    </row>
    <row r="4417" spans="18:18" ht="13.8">
      <c r="R4417" s="10">
        <v>4389</v>
      </c>
    </row>
    <row r="4418" spans="18:18" ht="13.8">
      <c r="R4418" s="10">
        <v>4390</v>
      </c>
    </row>
    <row r="4419" spans="18:18" ht="13.8">
      <c r="R4419" s="10">
        <v>4391</v>
      </c>
    </row>
    <row r="4420" spans="18:18" ht="13.8">
      <c r="R4420" s="10">
        <v>4392</v>
      </c>
    </row>
    <row r="4421" spans="18:18" ht="13.8">
      <c r="R4421" s="10">
        <v>4393</v>
      </c>
    </row>
    <row r="4422" spans="18:18" ht="13.8">
      <c r="R4422" s="10">
        <v>4394</v>
      </c>
    </row>
    <row r="4423" spans="18:18" ht="13.8">
      <c r="R4423" s="10">
        <v>4395</v>
      </c>
    </row>
    <row r="4424" spans="18:18" ht="13.8">
      <c r="R4424" s="10">
        <v>4396</v>
      </c>
    </row>
    <row r="4425" spans="18:18" ht="13.8">
      <c r="R4425" s="10">
        <v>4397</v>
      </c>
    </row>
    <row r="4426" spans="18:18" ht="13.8">
      <c r="R4426" s="10">
        <v>4398</v>
      </c>
    </row>
    <row r="4427" spans="18:18" ht="13.8">
      <c r="R4427" s="10">
        <v>4399</v>
      </c>
    </row>
    <row r="4428" spans="18:18" ht="13.8">
      <c r="R4428" s="10">
        <v>4400</v>
      </c>
    </row>
    <row r="4429" spans="18:18" ht="13.8">
      <c r="R4429" s="10">
        <v>4401</v>
      </c>
    </row>
    <row r="4430" spans="18:18" ht="13.8">
      <c r="R4430" s="10">
        <v>4402</v>
      </c>
    </row>
    <row r="4431" spans="18:18" ht="13.8">
      <c r="R4431" s="10">
        <v>4403</v>
      </c>
    </row>
    <row r="4432" spans="18:18" ht="13.8">
      <c r="R4432" s="10">
        <v>4404</v>
      </c>
    </row>
    <row r="4433" spans="18:18" ht="13.8">
      <c r="R4433" s="10">
        <v>4405</v>
      </c>
    </row>
    <row r="4434" spans="18:18" ht="13.8">
      <c r="R4434" s="10">
        <v>4406</v>
      </c>
    </row>
    <row r="4435" spans="18:18" ht="13.8">
      <c r="R4435" s="10">
        <v>4407</v>
      </c>
    </row>
    <row r="4436" spans="18:18" ht="13.8">
      <c r="R4436" s="10">
        <v>4408</v>
      </c>
    </row>
    <row r="4437" spans="18:18" ht="13.8">
      <c r="R4437" s="10">
        <v>4409</v>
      </c>
    </row>
    <row r="4438" spans="18:18" ht="13.8">
      <c r="R4438" s="10">
        <v>4410</v>
      </c>
    </row>
    <row r="4439" spans="18:18" ht="13.8">
      <c r="R4439" s="10">
        <v>4411</v>
      </c>
    </row>
    <row r="4440" spans="18:18" ht="13.8">
      <c r="R4440" s="10">
        <v>4412</v>
      </c>
    </row>
    <row r="4441" spans="18:18" ht="13.8">
      <c r="R4441" s="10">
        <v>4413</v>
      </c>
    </row>
    <row r="4442" spans="18:18" ht="13.8">
      <c r="R4442" s="10">
        <v>4414</v>
      </c>
    </row>
    <row r="4443" spans="18:18" ht="13.8">
      <c r="R4443" s="10">
        <v>4415</v>
      </c>
    </row>
    <row r="4444" spans="18:18" ht="13.8">
      <c r="R4444" s="10">
        <v>4416</v>
      </c>
    </row>
    <row r="4445" spans="18:18" ht="13.8">
      <c r="R4445" s="10">
        <v>4417</v>
      </c>
    </row>
    <row r="4446" spans="18:18" ht="13.8">
      <c r="R4446" s="10">
        <v>4418</v>
      </c>
    </row>
    <row r="4447" spans="18:18" ht="13.8">
      <c r="R4447" s="10">
        <v>4419</v>
      </c>
    </row>
    <row r="4448" spans="18:18" ht="13.8">
      <c r="R4448" s="10">
        <v>4420</v>
      </c>
    </row>
    <row r="4449" spans="18:18" ht="13.8">
      <c r="R4449" s="10">
        <v>4421</v>
      </c>
    </row>
    <row r="4450" spans="18:18" ht="13.8">
      <c r="R4450" s="10">
        <v>4422</v>
      </c>
    </row>
    <row r="4451" spans="18:18" ht="13.8">
      <c r="R4451" s="10">
        <v>4423</v>
      </c>
    </row>
    <row r="4452" spans="18:18" ht="13.8">
      <c r="R4452" s="10">
        <v>4424</v>
      </c>
    </row>
    <row r="4453" spans="18:18" ht="13.8">
      <c r="R4453" s="10">
        <v>4425</v>
      </c>
    </row>
    <row r="4454" spans="18:18" ht="13.8">
      <c r="R4454" s="10">
        <v>4426</v>
      </c>
    </row>
    <row r="4455" spans="18:18" ht="13.8">
      <c r="R4455" s="10">
        <v>4427</v>
      </c>
    </row>
    <row r="4456" spans="18:18" ht="13.8">
      <c r="R4456" s="10">
        <v>4428</v>
      </c>
    </row>
    <row r="4457" spans="18:18" ht="13.8">
      <c r="R4457" s="10">
        <v>4429</v>
      </c>
    </row>
    <row r="4458" spans="18:18" ht="13.8">
      <c r="R4458" s="10">
        <v>4430</v>
      </c>
    </row>
    <row r="4459" spans="18:18" ht="13.8">
      <c r="R4459" s="10">
        <v>4431</v>
      </c>
    </row>
    <row r="4460" spans="18:18" ht="13.8">
      <c r="R4460" s="10">
        <v>4432</v>
      </c>
    </row>
    <row r="4461" spans="18:18" ht="13.8">
      <c r="R4461" s="10">
        <v>4433</v>
      </c>
    </row>
    <row r="4462" spans="18:18" ht="13.8">
      <c r="R4462" s="10">
        <v>4434</v>
      </c>
    </row>
    <row r="4463" spans="18:18" ht="13.8">
      <c r="R4463" s="10">
        <v>4435</v>
      </c>
    </row>
    <row r="4464" spans="18:18" ht="13.8">
      <c r="R4464" s="10">
        <v>4436</v>
      </c>
    </row>
    <row r="4465" spans="18:18" ht="13.8">
      <c r="R4465" s="10">
        <v>4437</v>
      </c>
    </row>
    <row r="4466" spans="18:18" ht="13.8">
      <c r="R4466" s="10">
        <v>4438</v>
      </c>
    </row>
    <row r="4467" spans="18:18" ht="13.8">
      <c r="R4467" s="10">
        <v>4439</v>
      </c>
    </row>
    <row r="4468" spans="18:18" ht="13.8">
      <c r="R4468" s="10">
        <v>4440</v>
      </c>
    </row>
    <row r="4469" spans="18:18" ht="13.8">
      <c r="R4469" s="10">
        <v>4441</v>
      </c>
    </row>
    <row r="4470" spans="18:18" ht="13.8">
      <c r="R4470" s="10">
        <v>4442</v>
      </c>
    </row>
    <row r="4471" spans="18:18" ht="13.8">
      <c r="R4471" s="10">
        <v>4443</v>
      </c>
    </row>
    <row r="4472" spans="18:18" ht="13.8">
      <c r="R4472" s="10">
        <v>4444</v>
      </c>
    </row>
    <row r="4473" spans="18:18" ht="13.8">
      <c r="R4473" s="10">
        <v>4445</v>
      </c>
    </row>
    <row r="4474" spans="18:18" ht="13.8">
      <c r="R4474" s="10">
        <v>4446</v>
      </c>
    </row>
    <row r="4475" spans="18:18" ht="13.8">
      <c r="R4475" s="10">
        <v>4447</v>
      </c>
    </row>
    <row r="4476" spans="18:18" ht="13.8">
      <c r="R4476" s="10">
        <v>4448</v>
      </c>
    </row>
    <row r="4477" spans="18:18" ht="13.8">
      <c r="R4477" s="10">
        <v>4449</v>
      </c>
    </row>
    <row r="4478" spans="18:18" ht="13.8">
      <c r="R4478" s="10">
        <v>4450</v>
      </c>
    </row>
    <row r="4479" spans="18:18" ht="13.8">
      <c r="R4479" s="10">
        <v>4451</v>
      </c>
    </row>
    <row r="4480" spans="18:18" ht="13.8">
      <c r="R4480" s="10">
        <v>4452</v>
      </c>
    </row>
    <row r="4481" spans="18:18" ht="13.8">
      <c r="R4481" s="10">
        <v>4453</v>
      </c>
    </row>
    <row r="4482" spans="18:18" ht="13.8">
      <c r="R4482" s="10">
        <v>4454</v>
      </c>
    </row>
    <row r="4483" spans="18:18" ht="13.8">
      <c r="R4483" s="10">
        <v>4455</v>
      </c>
    </row>
    <row r="4484" spans="18:18" ht="13.8">
      <c r="R4484" s="10">
        <v>4456</v>
      </c>
    </row>
    <row r="4485" spans="18:18" ht="13.8">
      <c r="R4485" s="10">
        <v>4457</v>
      </c>
    </row>
    <row r="4486" spans="18:18" ht="13.8">
      <c r="R4486" s="10">
        <v>4458</v>
      </c>
    </row>
    <row r="4487" spans="18:18" ht="13.8">
      <c r="R4487" s="10">
        <v>4459</v>
      </c>
    </row>
    <row r="4488" spans="18:18" ht="13.8">
      <c r="R4488" s="10">
        <v>4460</v>
      </c>
    </row>
    <row r="4489" spans="18:18" ht="13.8">
      <c r="R4489" s="10">
        <v>4461</v>
      </c>
    </row>
    <row r="4490" spans="18:18" ht="13.8">
      <c r="R4490" s="10">
        <v>4462</v>
      </c>
    </row>
    <row r="4491" spans="18:18" ht="13.8">
      <c r="R4491" s="10">
        <v>4463</v>
      </c>
    </row>
    <row r="4492" spans="18:18" ht="13.8">
      <c r="R4492" s="10">
        <v>4464</v>
      </c>
    </row>
    <row r="4493" spans="18:18" ht="13.8">
      <c r="R4493" s="10">
        <v>4465</v>
      </c>
    </row>
    <row r="4494" spans="18:18" ht="13.8">
      <c r="R4494" s="10">
        <v>4466</v>
      </c>
    </row>
    <row r="4495" spans="18:18" ht="13.8">
      <c r="R4495" s="10">
        <v>4467</v>
      </c>
    </row>
    <row r="4496" spans="18:18" ht="13.8">
      <c r="R4496" s="10">
        <v>4468</v>
      </c>
    </row>
    <row r="4497" spans="18:18" ht="13.8">
      <c r="R4497" s="10">
        <v>4469</v>
      </c>
    </row>
    <row r="4498" spans="18:18" ht="13.8">
      <c r="R4498" s="10">
        <v>4470</v>
      </c>
    </row>
    <row r="4499" spans="18:18" ht="13.8">
      <c r="R4499" s="10">
        <v>4471</v>
      </c>
    </row>
    <row r="4500" spans="18:18" ht="13.8">
      <c r="R4500" s="10">
        <v>4472</v>
      </c>
    </row>
    <row r="4501" spans="18:18" ht="13.8">
      <c r="R4501" s="10">
        <v>4473</v>
      </c>
    </row>
    <row r="4502" spans="18:18" ht="13.8">
      <c r="R4502" s="10">
        <v>4474</v>
      </c>
    </row>
    <row r="4503" spans="18:18" ht="13.8">
      <c r="R4503" s="10">
        <v>4475</v>
      </c>
    </row>
    <row r="4504" spans="18:18" ht="13.8">
      <c r="R4504" s="10">
        <v>4476</v>
      </c>
    </row>
    <row r="4505" spans="18:18" ht="13.8">
      <c r="R4505" s="10">
        <v>4477</v>
      </c>
    </row>
    <row r="4506" spans="18:18" ht="13.8">
      <c r="R4506" s="10">
        <v>4478</v>
      </c>
    </row>
    <row r="4507" spans="18:18" ht="13.8">
      <c r="R4507" s="10">
        <v>4479</v>
      </c>
    </row>
    <row r="4508" spans="18:18" ht="13.8">
      <c r="R4508" s="10">
        <v>4480</v>
      </c>
    </row>
    <row r="4509" spans="18:18" ht="13.8">
      <c r="R4509" s="10">
        <v>4481</v>
      </c>
    </row>
    <row r="4510" spans="18:18" ht="13.8">
      <c r="R4510" s="10">
        <v>4482</v>
      </c>
    </row>
    <row r="4511" spans="18:18" ht="13.8">
      <c r="R4511" s="10">
        <v>4483</v>
      </c>
    </row>
    <row r="4512" spans="18:18" ht="13.8">
      <c r="R4512" s="10">
        <v>4484</v>
      </c>
    </row>
    <row r="4513" spans="18:18" ht="13.8">
      <c r="R4513" s="10">
        <v>4485</v>
      </c>
    </row>
    <row r="4514" spans="18:18" ht="13.8">
      <c r="R4514" s="10">
        <v>4486</v>
      </c>
    </row>
    <row r="4515" spans="18:18" ht="13.8">
      <c r="R4515" s="10">
        <v>4487</v>
      </c>
    </row>
    <row r="4516" spans="18:18" ht="13.8">
      <c r="R4516" s="10">
        <v>4488</v>
      </c>
    </row>
    <row r="4517" spans="18:18" ht="13.8">
      <c r="R4517" s="10">
        <v>4489</v>
      </c>
    </row>
    <row r="4518" spans="18:18" ht="13.8">
      <c r="R4518" s="10">
        <v>4490</v>
      </c>
    </row>
    <row r="4519" spans="18:18" ht="13.8">
      <c r="R4519" s="10">
        <v>4491</v>
      </c>
    </row>
    <row r="4520" spans="18:18" ht="13.8">
      <c r="R4520" s="10">
        <v>4492</v>
      </c>
    </row>
    <row r="4521" spans="18:18" ht="13.8">
      <c r="R4521" s="10">
        <v>4493</v>
      </c>
    </row>
    <row r="4522" spans="18:18" ht="13.8">
      <c r="R4522" s="10">
        <v>4494</v>
      </c>
    </row>
    <row r="4523" spans="18:18" ht="13.8">
      <c r="R4523" s="10">
        <v>4495</v>
      </c>
    </row>
    <row r="4524" spans="18:18" ht="13.8">
      <c r="R4524" s="10">
        <v>4496</v>
      </c>
    </row>
    <row r="4525" spans="18:18" ht="13.8">
      <c r="R4525" s="10">
        <v>4497</v>
      </c>
    </row>
    <row r="4526" spans="18:18" ht="13.8">
      <c r="R4526" s="10">
        <v>4498</v>
      </c>
    </row>
    <row r="4527" spans="18:18" ht="13.8">
      <c r="R4527" s="10">
        <v>4499</v>
      </c>
    </row>
    <row r="4528" spans="18:18" ht="13.8">
      <c r="R4528" s="10">
        <v>4500</v>
      </c>
    </row>
    <row r="4529" spans="18:18" ht="13.8">
      <c r="R4529" s="10">
        <v>4501</v>
      </c>
    </row>
    <row r="4530" spans="18:18" ht="13.8">
      <c r="R4530" s="10">
        <v>4502</v>
      </c>
    </row>
    <row r="4531" spans="18:18" ht="13.8">
      <c r="R4531" s="10">
        <v>4503</v>
      </c>
    </row>
    <row r="4532" spans="18:18" ht="13.8">
      <c r="R4532" s="10">
        <v>4504</v>
      </c>
    </row>
    <row r="4533" spans="18:18" ht="13.8">
      <c r="R4533" s="10">
        <v>4505</v>
      </c>
    </row>
    <row r="4534" spans="18:18" ht="13.8">
      <c r="R4534" s="10">
        <v>4506</v>
      </c>
    </row>
    <row r="4535" spans="18:18" ht="13.8">
      <c r="R4535" s="10">
        <v>4507</v>
      </c>
    </row>
    <row r="4536" spans="18:18" ht="13.8">
      <c r="R4536" s="10">
        <v>4508</v>
      </c>
    </row>
    <row r="4537" spans="18:18" ht="13.8">
      <c r="R4537" s="10">
        <v>4509</v>
      </c>
    </row>
    <row r="4538" spans="18:18" ht="13.8">
      <c r="R4538" s="10">
        <v>4510</v>
      </c>
    </row>
    <row r="4539" spans="18:18" ht="13.8">
      <c r="R4539" s="10">
        <v>4511</v>
      </c>
    </row>
    <row r="4540" spans="18:18" ht="13.8">
      <c r="R4540" s="10">
        <v>4512</v>
      </c>
    </row>
    <row r="4541" spans="18:18" ht="13.8">
      <c r="R4541" s="10">
        <v>4513</v>
      </c>
    </row>
    <row r="4542" spans="18:18" ht="13.8">
      <c r="R4542" s="10">
        <v>4514</v>
      </c>
    </row>
    <row r="4543" spans="18:18" ht="13.8">
      <c r="R4543" s="10">
        <v>4515</v>
      </c>
    </row>
    <row r="4544" spans="18:18" ht="13.8">
      <c r="R4544" s="10">
        <v>4516</v>
      </c>
    </row>
    <row r="4545" spans="18:18" ht="13.8">
      <c r="R4545" s="10">
        <v>4517</v>
      </c>
    </row>
    <row r="4546" spans="18:18" ht="13.8">
      <c r="R4546" s="10">
        <v>4518</v>
      </c>
    </row>
    <row r="4547" spans="18:18" ht="13.8">
      <c r="R4547" s="10">
        <v>4519</v>
      </c>
    </row>
    <row r="4548" spans="18:18" ht="13.8">
      <c r="R4548" s="10">
        <v>4520</v>
      </c>
    </row>
    <row r="4549" spans="18:18" ht="13.8">
      <c r="R4549" s="10">
        <v>4521</v>
      </c>
    </row>
    <row r="4550" spans="18:18" ht="13.8">
      <c r="R4550" s="10">
        <v>4522</v>
      </c>
    </row>
    <row r="4551" spans="18:18" ht="13.8">
      <c r="R4551" s="10">
        <v>4523</v>
      </c>
    </row>
    <row r="4552" spans="18:18" ht="13.8">
      <c r="R4552" s="10">
        <v>4524</v>
      </c>
    </row>
    <row r="4553" spans="18:18" ht="13.8">
      <c r="R4553" s="10">
        <v>4525</v>
      </c>
    </row>
    <row r="4554" spans="18:18" ht="13.8">
      <c r="R4554" s="10">
        <v>4526</v>
      </c>
    </row>
    <row r="4555" spans="18:18" ht="13.8">
      <c r="R4555" s="10">
        <v>4527</v>
      </c>
    </row>
    <row r="4556" spans="18:18" ht="13.8">
      <c r="R4556" s="10">
        <v>4528</v>
      </c>
    </row>
    <row r="4557" spans="18:18" ht="13.8">
      <c r="R4557" s="10">
        <v>4529</v>
      </c>
    </row>
    <row r="4558" spans="18:18" ht="13.8">
      <c r="R4558" s="10">
        <v>4530</v>
      </c>
    </row>
    <row r="4559" spans="18:18" ht="13.8">
      <c r="R4559" s="10">
        <v>4531</v>
      </c>
    </row>
    <row r="4560" spans="18:18" ht="13.8">
      <c r="R4560" s="10">
        <v>4532</v>
      </c>
    </row>
    <row r="4561" spans="18:18" ht="13.8">
      <c r="R4561" s="10">
        <v>4533</v>
      </c>
    </row>
    <row r="4562" spans="18:18" ht="13.8">
      <c r="R4562" s="10">
        <v>4534</v>
      </c>
    </row>
    <row r="4563" spans="18:18" ht="13.8">
      <c r="R4563" s="10">
        <v>4535</v>
      </c>
    </row>
    <row r="4564" spans="18:18" ht="13.8">
      <c r="R4564" s="10">
        <v>4536</v>
      </c>
    </row>
    <row r="4565" spans="18:18" ht="13.8">
      <c r="R4565" s="10">
        <v>4537</v>
      </c>
    </row>
    <row r="4566" spans="18:18" ht="13.8">
      <c r="R4566" s="10">
        <v>4538</v>
      </c>
    </row>
    <row r="4567" spans="18:18" ht="13.8">
      <c r="R4567" s="10">
        <v>4539</v>
      </c>
    </row>
    <row r="4568" spans="18:18" ht="13.8">
      <c r="R4568" s="10">
        <v>4540</v>
      </c>
    </row>
    <row r="4569" spans="18:18" ht="13.8">
      <c r="R4569" s="10">
        <v>4541</v>
      </c>
    </row>
    <row r="4570" spans="18:18" ht="13.8">
      <c r="R4570" s="10">
        <v>4542</v>
      </c>
    </row>
    <row r="4571" spans="18:18" ht="13.8">
      <c r="R4571" s="10">
        <v>4543</v>
      </c>
    </row>
    <row r="4572" spans="18:18" ht="13.8">
      <c r="R4572" s="10">
        <v>4544</v>
      </c>
    </row>
    <row r="4573" spans="18:18" ht="13.8">
      <c r="R4573" s="10">
        <v>4545</v>
      </c>
    </row>
    <row r="4574" spans="18:18" ht="13.8">
      <c r="R4574" s="10">
        <v>4546</v>
      </c>
    </row>
    <row r="4575" spans="18:18" ht="13.8">
      <c r="R4575" s="10">
        <v>4547</v>
      </c>
    </row>
    <row r="4576" spans="18:18" ht="13.8">
      <c r="R4576" s="10">
        <v>4548</v>
      </c>
    </row>
    <row r="4577" spans="18:18" ht="13.8">
      <c r="R4577" s="10">
        <v>4549</v>
      </c>
    </row>
    <row r="4578" spans="18:18" ht="13.8">
      <c r="R4578" s="10">
        <v>4550</v>
      </c>
    </row>
    <row r="4579" spans="18:18" ht="13.8">
      <c r="R4579" s="10">
        <v>4551</v>
      </c>
    </row>
    <row r="4580" spans="18:18" ht="13.8">
      <c r="R4580" s="10">
        <v>4552</v>
      </c>
    </row>
    <row r="4581" spans="18:18" ht="13.8">
      <c r="R4581" s="10">
        <v>4553</v>
      </c>
    </row>
    <row r="4582" spans="18:18" ht="13.8">
      <c r="R4582" s="10">
        <v>4554</v>
      </c>
    </row>
    <row r="4583" spans="18:18" ht="13.8">
      <c r="R4583" s="10">
        <v>4555</v>
      </c>
    </row>
    <row r="4584" spans="18:18" ht="13.8">
      <c r="R4584" s="10">
        <v>4556</v>
      </c>
    </row>
    <row r="4585" spans="18:18" ht="13.8">
      <c r="R4585" s="10">
        <v>4557</v>
      </c>
    </row>
    <row r="4586" spans="18:18" ht="13.8">
      <c r="R4586" s="10">
        <v>4558</v>
      </c>
    </row>
    <row r="4587" spans="18:18" ht="13.8">
      <c r="R4587" s="10">
        <v>4559</v>
      </c>
    </row>
    <row r="4588" spans="18:18" ht="13.8">
      <c r="R4588" s="10">
        <v>4560</v>
      </c>
    </row>
    <row r="4589" spans="18:18" ht="13.8">
      <c r="R4589" s="10">
        <v>4561</v>
      </c>
    </row>
    <row r="4590" spans="18:18" ht="13.8">
      <c r="R4590" s="10">
        <v>4562</v>
      </c>
    </row>
    <row r="4591" spans="18:18" ht="13.8">
      <c r="R4591" s="10">
        <v>4563</v>
      </c>
    </row>
    <row r="4592" spans="18:18" ht="13.8">
      <c r="R4592" s="10">
        <v>4564</v>
      </c>
    </row>
    <row r="4593" spans="18:18" ht="13.8">
      <c r="R4593" s="10">
        <v>4565</v>
      </c>
    </row>
    <row r="4594" spans="18:18" ht="13.8">
      <c r="R4594" s="10">
        <v>4566</v>
      </c>
    </row>
    <row r="4595" spans="18:18" ht="13.8">
      <c r="R4595" s="10">
        <v>4567</v>
      </c>
    </row>
    <row r="4596" spans="18:18" ht="13.8">
      <c r="R4596" s="10">
        <v>4568</v>
      </c>
    </row>
    <row r="4597" spans="18:18" ht="13.8">
      <c r="R4597" s="10">
        <v>4569</v>
      </c>
    </row>
    <row r="4598" spans="18:18" ht="13.8">
      <c r="R4598" s="10">
        <v>4570</v>
      </c>
    </row>
    <row r="4599" spans="18:18" ht="13.8">
      <c r="R4599" s="10">
        <v>4571</v>
      </c>
    </row>
    <row r="4600" spans="18:18" ht="13.8">
      <c r="R4600" s="10">
        <v>4572</v>
      </c>
    </row>
    <row r="4601" spans="18:18" ht="13.8">
      <c r="R4601" s="10">
        <v>4573</v>
      </c>
    </row>
    <row r="4602" spans="18:18" ht="13.8">
      <c r="R4602" s="10">
        <v>4574</v>
      </c>
    </row>
    <row r="4603" spans="18:18" ht="13.8">
      <c r="R4603" s="10">
        <v>4575</v>
      </c>
    </row>
    <row r="4604" spans="18:18" ht="13.8">
      <c r="R4604" s="10">
        <v>4576</v>
      </c>
    </row>
    <row r="4605" spans="18:18" ht="13.8">
      <c r="R4605" s="10">
        <v>4577</v>
      </c>
    </row>
    <row r="4606" spans="18:18" ht="13.8">
      <c r="R4606" s="10">
        <v>4578</v>
      </c>
    </row>
    <row r="4607" spans="18:18" ht="13.8">
      <c r="R4607" s="10">
        <v>4579</v>
      </c>
    </row>
    <row r="4608" spans="18:18" ht="13.8">
      <c r="R4608" s="10">
        <v>4580</v>
      </c>
    </row>
    <row r="4609" spans="18:18" ht="13.8">
      <c r="R4609" s="10">
        <v>4581</v>
      </c>
    </row>
    <row r="4610" spans="18:18" ht="13.8">
      <c r="R4610" s="10">
        <v>4582</v>
      </c>
    </row>
    <row r="4611" spans="18:18" ht="13.8">
      <c r="R4611" s="10">
        <v>4583</v>
      </c>
    </row>
    <row r="4612" spans="18:18" ht="13.8">
      <c r="R4612" s="10">
        <v>4584</v>
      </c>
    </row>
    <row r="4613" spans="18:18" ht="13.8">
      <c r="R4613" s="10">
        <v>4585</v>
      </c>
    </row>
    <row r="4614" spans="18:18" ht="13.8">
      <c r="R4614" s="10">
        <v>4586</v>
      </c>
    </row>
    <row r="4615" spans="18:18" ht="13.8">
      <c r="R4615" s="10">
        <v>4587</v>
      </c>
    </row>
    <row r="4616" spans="18:18" ht="13.8">
      <c r="R4616" s="10">
        <v>4588</v>
      </c>
    </row>
    <row r="4617" spans="18:18" ht="13.8">
      <c r="R4617" s="10">
        <v>4589</v>
      </c>
    </row>
    <row r="4618" spans="18:18" ht="13.8">
      <c r="R4618" s="10">
        <v>4590</v>
      </c>
    </row>
    <row r="4619" spans="18:18" ht="13.8">
      <c r="R4619" s="10">
        <v>4591</v>
      </c>
    </row>
    <row r="4620" spans="18:18" ht="13.8">
      <c r="R4620" s="10">
        <v>4592</v>
      </c>
    </row>
    <row r="4621" spans="18:18" ht="13.8">
      <c r="R4621" s="10">
        <v>4593</v>
      </c>
    </row>
    <row r="4622" spans="18:18" ht="13.8">
      <c r="R4622" s="10">
        <v>4594</v>
      </c>
    </row>
    <row r="4623" spans="18:18" ht="13.8">
      <c r="R4623" s="10">
        <v>4595</v>
      </c>
    </row>
    <row r="4624" spans="18:18" ht="13.8">
      <c r="R4624" s="10">
        <v>4596</v>
      </c>
    </row>
    <row r="4625" spans="18:18" ht="13.8">
      <c r="R4625" s="10">
        <v>4597</v>
      </c>
    </row>
    <row r="4626" spans="18:18" ht="13.8">
      <c r="R4626" s="10">
        <v>4598</v>
      </c>
    </row>
    <row r="4627" spans="18:18" ht="13.8">
      <c r="R4627" s="10">
        <v>4599</v>
      </c>
    </row>
    <row r="4628" spans="18:18" ht="13.8">
      <c r="R4628" s="10">
        <v>4600</v>
      </c>
    </row>
    <row r="4629" spans="18:18" ht="13.8">
      <c r="R4629" s="10">
        <v>4601</v>
      </c>
    </row>
    <row r="4630" spans="18:18" ht="13.8">
      <c r="R4630" s="10">
        <v>4602</v>
      </c>
    </row>
    <row r="4631" spans="18:18" ht="13.8">
      <c r="R4631" s="10">
        <v>4603</v>
      </c>
    </row>
    <row r="4632" spans="18:18" ht="13.8">
      <c r="R4632" s="10">
        <v>4604</v>
      </c>
    </row>
    <row r="4633" spans="18:18" ht="13.8">
      <c r="R4633" s="10">
        <v>4605</v>
      </c>
    </row>
    <row r="4634" spans="18:18" ht="13.8">
      <c r="R4634" s="10">
        <v>4606</v>
      </c>
    </row>
    <row r="4635" spans="18:18" ht="13.8">
      <c r="R4635" s="10">
        <v>4607</v>
      </c>
    </row>
    <row r="4636" spans="18:18" ht="13.8">
      <c r="R4636" s="10">
        <v>4608</v>
      </c>
    </row>
    <row r="4637" spans="18:18" ht="13.8">
      <c r="R4637" s="10">
        <v>4609</v>
      </c>
    </row>
    <row r="4638" spans="18:18" ht="13.8">
      <c r="R4638" s="10">
        <v>4610</v>
      </c>
    </row>
    <row r="4639" spans="18:18" ht="13.8">
      <c r="R4639" s="10">
        <v>4611</v>
      </c>
    </row>
    <row r="4640" spans="18:18" ht="13.8">
      <c r="R4640" s="10">
        <v>4612</v>
      </c>
    </row>
    <row r="4641" spans="18:18" ht="13.8">
      <c r="R4641" s="10">
        <v>4613</v>
      </c>
    </row>
    <row r="4642" spans="18:18" ht="13.8">
      <c r="R4642" s="10">
        <v>4614</v>
      </c>
    </row>
    <row r="4643" spans="18:18" ht="13.8">
      <c r="R4643" s="10">
        <v>4615</v>
      </c>
    </row>
    <row r="4644" spans="18:18" ht="13.8">
      <c r="R4644" s="10">
        <v>4616</v>
      </c>
    </row>
    <row r="4645" spans="18:18" ht="13.8">
      <c r="R4645" s="10">
        <v>4617</v>
      </c>
    </row>
    <row r="4646" spans="18:18" ht="13.8">
      <c r="R4646" s="10">
        <v>4618</v>
      </c>
    </row>
    <row r="4647" spans="18:18" ht="13.8">
      <c r="R4647" s="10">
        <v>4619</v>
      </c>
    </row>
    <row r="4648" spans="18:18" ht="13.8">
      <c r="R4648" s="10">
        <v>4620</v>
      </c>
    </row>
    <row r="4649" spans="18:18" ht="13.8">
      <c r="R4649" s="10">
        <v>4621</v>
      </c>
    </row>
    <row r="4650" spans="18:18" ht="13.8">
      <c r="R4650" s="10">
        <v>4622</v>
      </c>
    </row>
    <row r="4651" spans="18:18" ht="13.8">
      <c r="R4651" s="10">
        <v>4623</v>
      </c>
    </row>
    <row r="4652" spans="18:18" ht="13.8">
      <c r="R4652" s="10">
        <v>4624</v>
      </c>
    </row>
    <row r="4653" spans="18:18" ht="13.8">
      <c r="R4653" s="10">
        <v>4625</v>
      </c>
    </row>
    <row r="4654" spans="18:18" ht="13.8">
      <c r="R4654" s="10">
        <v>4626</v>
      </c>
    </row>
    <row r="4655" spans="18:18" ht="13.8">
      <c r="R4655" s="10">
        <v>4627</v>
      </c>
    </row>
    <row r="4656" spans="18:18" ht="13.8">
      <c r="R4656" s="10">
        <v>4628</v>
      </c>
    </row>
    <row r="4657" spans="18:18" ht="13.8">
      <c r="R4657" s="10">
        <v>4629</v>
      </c>
    </row>
    <row r="4658" spans="18:18" ht="13.8">
      <c r="R4658" s="10">
        <v>4630</v>
      </c>
    </row>
    <row r="4659" spans="18:18" ht="13.8">
      <c r="R4659" s="10">
        <v>4631</v>
      </c>
    </row>
    <row r="4660" spans="18:18" ht="13.8">
      <c r="R4660" s="10">
        <v>4632</v>
      </c>
    </row>
    <row r="4661" spans="18:18" ht="13.8">
      <c r="R4661" s="10">
        <v>4633</v>
      </c>
    </row>
    <row r="4662" spans="18:18" ht="13.8">
      <c r="R4662" s="10">
        <v>4634</v>
      </c>
    </row>
    <row r="4663" spans="18:18" ht="13.8">
      <c r="R4663" s="10">
        <v>4635</v>
      </c>
    </row>
    <row r="4664" spans="18:18" ht="13.8">
      <c r="R4664" s="10">
        <v>4636</v>
      </c>
    </row>
    <row r="4665" spans="18:18" ht="13.8">
      <c r="R4665" s="10">
        <v>4637</v>
      </c>
    </row>
    <row r="4666" spans="18:18" ht="13.8">
      <c r="R4666" s="10">
        <v>4638</v>
      </c>
    </row>
    <row r="4667" spans="18:18" ht="13.8">
      <c r="R4667" s="10">
        <v>4639</v>
      </c>
    </row>
    <row r="4668" spans="18:18" ht="13.8">
      <c r="R4668" s="10">
        <v>4640</v>
      </c>
    </row>
    <row r="4669" spans="18:18" ht="13.8">
      <c r="R4669" s="10">
        <v>4641</v>
      </c>
    </row>
    <row r="4670" spans="18:18" ht="13.8">
      <c r="R4670" s="10">
        <v>4642</v>
      </c>
    </row>
    <row r="4671" spans="18:18" ht="13.8">
      <c r="R4671" s="10">
        <v>4643</v>
      </c>
    </row>
    <row r="4672" spans="18:18" ht="13.8">
      <c r="R4672" s="10">
        <v>4644</v>
      </c>
    </row>
    <row r="4673" spans="18:18" ht="13.8">
      <c r="R4673" s="10">
        <v>4645</v>
      </c>
    </row>
    <row r="4674" spans="18:18" ht="13.8">
      <c r="R4674" s="10">
        <v>4646</v>
      </c>
    </row>
    <row r="4675" spans="18:18" ht="13.8">
      <c r="R4675" s="10">
        <v>4647</v>
      </c>
    </row>
    <row r="4676" spans="18:18" ht="13.8">
      <c r="R4676" s="10">
        <v>4648</v>
      </c>
    </row>
    <row r="4677" spans="18:18" ht="13.8">
      <c r="R4677" s="10">
        <v>4649</v>
      </c>
    </row>
    <row r="4678" spans="18:18" ht="13.8">
      <c r="R4678" s="10">
        <v>4650</v>
      </c>
    </row>
    <row r="4679" spans="18:18" ht="13.8">
      <c r="R4679" s="10">
        <v>4651</v>
      </c>
    </row>
    <row r="4680" spans="18:18" ht="13.8">
      <c r="R4680" s="10">
        <v>4652</v>
      </c>
    </row>
    <row r="4681" spans="18:18" ht="13.8">
      <c r="R4681" s="10">
        <v>4653</v>
      </c>
    </row>
    <row r="4682" spans="18:18" ht="13.8">
      <c r="R4682" s="10">
        <v>4654</v>
      </c>
    </row>
    <row r="4683" spans="18:18" ht="13.8">
      <c r="R4683" s="10">
        <v>4655</v>
      </c>
    </row>
    <row r="4684" spans="18:18" ht="13.8">
      <c r="R4684" s="10">
        <v>4656</v>
      </c>
    </row>
    <row r="4685" spans="18:18" ht="13.8">
      <c r="R4685" s="10">
        <v>4657</v>
      </c>
    </row>
    <row r="4686" spans="18:18" ht="13.8">
      <c r="R4686" s="10">
        <v>4658</v>
      </c>
    </row>
    <row r="4687" spans="18:18" ht="13.8">
      <c r="R4687" s="10">
        <v>4659</v>
      </c>
    </row>
    <row r="4688" spans="18:18" ht="13.8">
      <c r="R4688" s="10">
        <v>4660</v>
      </c>
    </row>
    <row r="4689" spans="18:18" ht="13.8">
      <c r="R4689" s="10">
        <v>4661</v>
      </c>
    </row>
    <row r="4690" spans="18:18" ht="13.8">
      <c r="R4690" s="10">
        <v>4662</v>
      </c>
    </row>
    <row r="4691" spans="18:18" ht="13.8">
      <c r="R4691" s="10">
        <v>4663</v>
      </c>
    </row>
    <row r="4692" spans="18:18" ht="13.8">
      <c r="R4692" s="10">
        <v>4664</v>
      </c>
    </row>
    <row r="4693" spans="18:18" ht="13.8">
      <c r="R4693" s="10">
        <v>4665</v>
      </c>
    </row>
    <row r="4694" spans="18:18" ht="13.8">
      <c r="R4694" s="10">
        <v>4666</v>
      </c>
    </row>
    <row r="4695" spans="18:18" ht="13.8">
      <c r="R4695" s="10">
        <v>4667</v>
      </c>
    </row>
    <row r="4696" spans="18:18" ht="13.8">
      <c r="R4696" s="10">
        <v>4668</v>
      </c>
    </row>
    <row r="4697" spans="18:18" ht="13.8">
      <c r="R4697" s="10">
        <v>4669</v>
      </c>
    </row>
    <row r="4698" spans="18:18" ht="13.8">
      <c r="R4698" s="10">
        <v>4670</v>
      </c>
    </row>
    <row r="4699" spans="18:18" ht="13.8">
      <c r="R4699" s="10">
        <v>4671</v>
      </c>
    </row>
    <row r="4700" spans="18:18" ht="13.8">
      <c r="R4700" s="10">
        <v>4672</v>
      </c>
    </row>
    <row r="4701" spans="18:18" ht="13.8">
      <c r="R4701" s="10">
        <v>4673</v>
      </c>
    </row>
    <row r="4702" spans="18:18" ht="13.8">
      <c r="R4702" s="10">
        <v>4674</v>
      </c>
    </row>
    <row r="4703" spans="18:18" ht="13.8">
      <c r="R4703" s="10">
        <v>4675</v>
      </c>
    </row>
    <row r="4704" spans="18:18" ht="13.8">
      <c r="R4704" s="10">
        <v>4676</v>
      </c>
    </row>
    <row r="4705" spans="18:18" ht="13.8">
      <c r="R4705" s="10">
        <v>4677</v>
      </c>
    </row>
    <row r="4706" spans="18:18" ht="13.8">
      <c r="R4706" s="10">
        <v>4678</v>
      </c>
    </row>
    <row r="4707" spans="18:18" ht="13.8">
      <c r="R4707" s="10">
        <v>4679</v>
      </c>
    </row>
    <row r="4708" spans="18:18" ht="13.8">
      <c r="R4708" s="10">
        <v>4680</v>
      </c>
    </row>
    <row r="4709" spans="18:18" ht="13.8">
      <c r="R4709" s="10">
        <v>4681</v>
      </c>
    </row>
    <row r="4710" spans="18:18" ht="13.8">
      <c r="R4710" s="10">
        <v>4682</v>
      </c>
    </row>
    <row r="4711" spans="18:18" ht="13.8">
      <c r="R4711" s="10">
        <v>4683</v>
      </c>
    </row>
    <row r="4712" spans="18:18" ht="13.8">
      <c r="R4712" s="10">
        <v>4684</v>
      </c>
    </row>
    <row r="4713" spans="18:18" ht="13.8">
      <c r="R4713" s="10">
        <v>4685</v>
      </c>
    </row>
    <row r="4714" spans="18:18" ht="13.8">
      <c r="R4714" s="10">
        <v>4686</v>
      </c>
    </row>
    <row r="4715" spans="18:18" ht="13.8">
      <c r="R4715" s="10">
        <v>4687</v>
      </c>
    </row>
    <row r="4716" spans="18:18" ht="13.8">
      <c r="R4716" s="10">
        <v>4688</v>
      </c>
    </row>
    <row r="4717" spans="18:18" ht="13.8">
      <c r="R4717" s="10">
        <v>4689</v>
      </c>
    </row>
    <row r="4718" spans="18:18" ht="13.8">
      <c r="R4718" s="10">
        <v>4690</v>
      </c>
    </row>
    <row r="4719" spans="18:18" ht="13.8">
      <c r="R4719" s="10">
        <v>4691</v>
      </c>
    </row>
    <row r="4720" spans="18:18" ht="13.8">
      <c r="R4720" s="10">
        <v>4692</v>
      </c>
    </row>
    <row r="4721" spans="18:18" ht="13.8">
      <c r="R4721" s="10">
        <v>4693</v>
      </c>
    </row>
    <row r="4722" spans="18:18" ht="13.8">
      <c r="R4722" s="10">
        <v>4694</v>
      </c>
    </row>
    <row r="4723" spans="18:18" ht="13.8">
      <c r="R4723" s="10">
        <v>4695</v>
      </c>
    </row>
    <row r="4724" spans="18:18" ht="13.8">
      <c r="R4724" s="10">
        <v>4696</v>
      </c>
    </row>
    <row r="4725" spans="18:18" ht="13.8">
      <c r="R4725" s="10">
        <v>4697</v>
      </c>
    </row>
    <row r="4726" spans="18:18" ht="13.8">
      <c r="R4726" s="10">
        <v>4698</v>
      </c>
    </row>
    <row r="4727" spans="18:18" ht="13.8">
      <c r="R4727" s="10">
        <v>4699</v>
      </c>
    </row>
    <row r="4728" spans="18:18" ht="13.8">
      <c r="R4728" s="10">
        <v>4700</v>
      </c>
    </row>
    <row r="4729" spans="18:18" ht="13.8">
      <c r="R4729" s="10">
        <v>4701</v>
      </c>
    </row>
    <row r="4730" spans="18:18" ht="13.8">
      <c r="R4730" s="10">
        <v>4702</v>
      </c>
    </row>
    <row r="4731" spans="18:18" ht="13.8">
      <c r="R4731" s="10">
        <v>4703</v>
      </c>
    </row>
    <row r="4732" spans="18:18" ht="13.8">
      <c r="R4732" s="10">
        <v>4704</v>
      </c>
    </row>
    <row r="4733" spans="18:18" ht="13.8">
      <c r="R4733" s="10">
        <v>4705</v>
      </c>
    </row>
    <row r="4734" spans="18:18" ht="13.8">
      <c r="R4734" s="10">
        <v>4706</v>
      </c>
    </row>
    <row r="4735" spans="18:18" ht="13.8">
      <c r="R4735" s="10">
        <v>4707</v>
      </c>
    </row>
    <row r="4736" spans="18:18" ht="13.8">
      <c r="R4736" s="10">
        <v>4708</v>
      </c>
    </row>
    <row r="4737" spans="18:18" ht="13.8">
      <c r="R4737" s="10">
        <v>4709</v>
      </c>
    </row>
    <row r="4738" spans="18:18" ht="13.8">
      <c r="R4738" s="10">
        <v>4710</v>
      </c>
    </row>
    <row r="4739" spans="18:18" ht="13.8">
      <c r="R4739" s="10">
        <v>4711</v>
      </c>
    </row>
    <row r="4740" spans="18:18" ht="13.8">
      <c r="R4740" s="10">
        <v>4712</v>
      </c>
    </row>
    <row r="4741" spans="18:18" ht="13.8">
      <c r="R4741" s="10">
        <v>4713</v>
      </c>
    </row>
    <row r="4742" spans="18:18" ht="13.8">
      <c r="R4742" s="10">
        <v>4714</v>
      </c>
    </row>
    <row r="4743" spans="18:18" ht="13.8">
      <c r="R4743" s="10">
        <v>4715</v>
      </c>
    </row>
    <row r="4744" spans="18:18" ht="13.8">
      <c r="R4744" s="10">
        <v>4716</v>
      </c>
    </row>
    <row r="4745" spans="18:18" ht="13.8">
      <c r="R4745" s="10">
        <v>4717</v>
      </c>
    </row>
    <row r="4746" spans="18:18" ht="13.8">
      <c r="R4746" s="10">
        <v>4718</v>
      </c>
    </row>
    <row r="4747" spans="18:18" ht="13.8">
      <c r="R4747" s="10">
        <v>4719</v>
      </c>
    </row>
    <row r="4748" spans="18:18" ht="13.8">
      <c r="R4748" s="10">
        <v>4720</v>
      </c>
    </row>
    <row r="4749" spans="18:18" ht="13.8">
      <c r="R4749" s="10">
        <v>4721</v>
      </c>
    </row>
    <row r="4750" spans="18:18" ht="13.8">
      <c r="R4750" s="10">
        <v>4722</v>
      </c>
    </row>
    <row r="4751" spans="18:18" ht="13.8">
      <c r="R4751" s="10">
        <v>4723</v>
      </c>
    </row>
    <row r="4752" spans="18:18" ht="13.8">
      <c r="R4752" s="10">
        <v>4724</v>
      </c>
    </row>
    <row r="4753" spans="18:18" ht="13.8">
      <c r="R4753" s="10">
        <v>4725</v>
      </c>
    </row>
    <row r="4754" spans="18:18" ht="13.8">
      <c r="R4754" s="10">
        <v>4726</v>
      </c>
    </row>
    <row r="4755" spans="18:18" ht="13.8">
      <c r="R4755" s="10">
        <v>4727</v>
      </c>
    </row>
    <row r="4756" spans="18:18" ht="13.8">
      <c r="R4756" s="10">
        <v>4728</v>
      </c>
    </row>
    <row r="4757" spans="18:18" ht="13.8">
      <c r="R4757" s="10">
        <v>4729</v>
      </c>
    </row>
    <row r="4758" spans="18:18" ht="13.8">
      <c r="R4758" s="10">
        <v>4730</v>
      </c>
    </row>
    <row r="4759" spans="18:18" ht="13.8">
      <c r="R4759" s="10">
        <v>4731</v>
      </c>
    </row>
    <row r="4760" spans="18:18" ht="13.8">
      <c r="R4760" s="10">
        <v>4732</v>
      </c>
    </row>
    <row r="4761" spans="18:18" ht="13.8">
      <c r="R4761" s="10">
        <v>4733</v>
      </c>
    </row>
    <row r="4762" spans="18:18" ht="13.8">
      <c r="R4762" s="10">
        <v>4734</v>
      </c>
    </row>
    <row r="4763" spans="18:18" ht="13.8">
      <c r="R4763" s="10">
        <v>4735</v>
      </c>
    </row>
    <row r="4764" spans="18:18" ht="13.8">
      <c r="R4764" s="10">
        <v>4736</v>
      </c>
    </row>
    <row r="4765" spans="18:18" ht="13.8">
      <c r="R4765" s="10">
        <v>4737</v>
      </c>
    </row>
    <row r="4766" spans="18:18" ht="13.8">
      <c r="R4766" s="10">
        <v>4738</v>
      </c>
    </row>
    <row r="4767" spans="18:18" ht="13.8">
      <c r="R4767" s="10">
        <v>4739</v>
      </c>
    </row>
    <row r="4768" spans="18:18" ht="13.8">
      <c r="R4768" s="10">
        <v>4740</v>
      </c>
    </row>
    <row r="4769" spans="18:18" ht="13.8">
      <c r="R4769" s="10">
        <v>4741</v>
      </c>
    </row>
    <row r="4770" spans="18:18" ht="13.8">
      <c r="R4770" s="10">
        <v>4742</v>
      </c>
    </row>
    <row r="4771" spans="18:18" ht="13.8">
      <c r="R4771" s="10">
        <v>4743</v>
      </c>
    </row>
    <row r="4772" spans="18:18" ht="13.8">
      <c r="R4772" s="10">
        <v>4744</v>
      </c>
    </row>
    <row r="4773" spans="18:18" ht="13.8">
      <c r="R4773" s="10">
        <v>4745</v>
      </c>
    </row>
    <row r="4774" spans="18:18" ht="13.8">
      <c r="R4774" s="10">
        <v>4746</v>
      </c>
    </row>
    <row r="4775" spans="18:18" ht="13.8">
      <c r="R4775" s="10">
        <v>4747</v>
      </c>
    </row>
    <row r="4776" spans="18:18" ht="13.8">
      <c r="R4776" s="10">
        <v>4748</v>
      </c>
    </row>
    <row r="4777" spans="18:18" ht="13.8">
      <c r="R4777" s="10">
        <v>4749</v>
      </c>
    </row>
    <row r="4778" spans="18:18" ht="13.8">
      <c r="R4778" s="10">
        <v>4750</v>
      </c>
    </row>
    <row r="4779" spans="18:18" ht="13.8">
      <c r="R4779" s="10">
        <v>4751</v>
      </c>
    </row>
    <row r="4780" spans="18:18" ht="13.8">
      <c r="R4780" s="10">
        <v>4752</v>
      </c>
    </row>
    <row r="4781" spans="18:18" ht="13.8">
      <c r="R4781" s="10">
        <v>4753</v>
      </c>
    </row>
    <row r="4782" spans="18:18" ht="13.8">
      <c r="R4782" s="10">
        <v>4754</v>
      </c>
    </row>
    <row r="4783" spans="18:18" ht="13.8">
      <c r="R4783" s="10">
        <v>4755</v>
      </c>
    </row>
    <row r="4784" spans="18:18" ht="13.8">
      <c r="R4784" s="10">
        <v>4756</v>
      </c>
    </row>
    <row r="4785" spans="18:18" ht="13.8">
      <c r="R4785" s="10">
        <v>4757</v>
      </c>
    </row>
    <row r="4786" spans="18:18" ht="13.8">
      <c r="R4786" s="10">
        <v>4758</v>
      </c>
    </row>
    <row r="4787" spans="18:18" ht="13.8">
      <c r="R4787" s="10">
        <v>4759</v>
      </c>
    </row>
    <row r="4788" spans="18:18" ht="13.8">
      <c r="R4788" s="10">
        <v>4760</v>
      </c>
    </row>
    <row r="4789" spans="18:18" ht="13.8">
      <c r="R4789" s="10">
        <v>4761</v>
      </c>
    </row>
    <row r="4790" spans="18:18" ht="13.8">
      <c r="R4790" s="10">
        <v>4762</v>
      </c>
    </row>
    <row r="4791" spans="18:18" ht="13.8">
      <c r="R4791" s="10">
        <v>4763</v>
      </c>
    </row>
    <row r="4792" spans="18:18" ht="13.8">
      <c r="R4792" s="10">
        <v>4764</v>
      </c>
    </row>
    <row r="4793" spans="18:18" ht="13.8">
      <c r="R4793" s="10">
        <v>4765</v>
      </c>
    </row>
    <row r="4794" spans="18:18" ht="13.8">
      <c r="R4794" s="10">
        <v>4766</v>
      </c>
    </row>
    <row r="4795" spans="18:18" ht="13.8">
      <c r="R4795" s="10">
        <v>4767</v>
      </c>
    </row>
    <row r="4796" spans="18:18" ht="13.8">
      <c r="R4796" s="10">
        <v>4768</v>
      </c>
    </row>
    <row r="4797" spans="18:18" ht="13.8">
      <c r="R4797" s="10">
        <v>4769</v>
      </c>
    </row>
    <row r="4798" spans="18:18" ht="13.8">
      <c r="R4798" s="10">
        <v>4770</v>
      </c>
    </row>
    <row r="4799" spans="18:18" ht="13.8">
      <c r="R4799" s="10">
        <v>4771</v>
      </c>
    </row>
    <row r="4800" spans="18:18" ht="13.8">
      <c r="R4800" s="10">
        <v>4772</v>
      </c>
    </row>
    <row r="4801" spans="18:18" ht="13.8">
      <c r="R4801" s="10">
        <v>4773</v>
      </c>
    </row>
    <row r="4802" spans="18:18" ht="13.8">
      <c r="R4802" s="10">
        <v>4774</v>
      </c>
    </row>
    <row r="4803" spans="18:18" ht="13.8">
      <c r="R4803" s="10">
        <v>4775</v>
      </c>
    </row>
    <row r="4804" spans="18:18" ht="13.8">
      <c r="R4804" s="10">
        <v>4776</v>
      </c>
    </row>
    <row r="4805" spans="18:18" ht="13.8">
      <c r="R4805" s="10">
        <v>4777</v>
      </c>
    </row>
    <row r="4806" spans="18:18" ht="13.8">
      <c r="R4806" s="10">
        <v>4778</v>
      </c>
    </row>
    <row r="4807" spans="18:18" ht="13.8">
      <c r="R4807" s="10">
        <v>4779</v>
      </c>
    </row>
    <row r="4808" spans="18:18" ht="13.8">
      <c r="R4808" s="10">
        <v>4780</v>
      </c>
    </row>
    <row r="4809" spans="18:18" ht="13.8">
      <c r="R4809" s="10">
        <v>4781</v>
      </c>
    </row>
    <row r="4810" spans="18:18" ht="13.8">
      <c r="R4810" s="10">
        <v>4782</v>
      </c>
    </row>
    <row r="4811" spans="18:18" ht="13.8">
      <c r="R4811" s="10">
        <v>4783</v>
      </c>
    </row>
    <row r="4812" spans="18:18" ht="13.8">
      <c r="R4812" s="10">
        <v>4784</v>
      </c>
    </row>
    <row r="4813" spans="18:18" ht="13.8">
      <c r="R4813" s="10">
        <v>4785</v>
      </c>
    </row>
    <row r="4814" spans="18:18" ht="13.8">
      <c r="R4814" s="10">
        <v>4786</v>
      </c>
    </row>
    <row r="4815" spans="18:18" ht="13.8">
      <c r="R4815" s="10">
        <v>4787</v>
      </c>
    </row>
    <row r="4816" spans="18:18" ht="13.8">
      <c r="R4816" s="10">
        <v>4788</v>
      </c>
    </row>
    <row r="4817" spans="18:18" ht="13.8">
      <c r="R4817" s="10">
        <v>4789</v>
      </c>
    </row>
    <row r="4818" spans="18:18" ht="13.8">
      <c r="R4818" s="10">
        <v>4790</v>
      </c>
    </row>
    <row r="4819" spans="18:18" ht="13.8">
      <c r="R4819" s="10">
        <v>4791</v>
      </c>
    </row>
    <row r="4820" spans="18:18" ht="13.8">
      <c r="R4820" s="10">
        <v>4792</v>
      </c>
    </row>
    <row r="4821" spans="18:18" ht="13.8">
      <c r="R4821" s="10">
        <v>4793</v>
      </c>
    </row>
    <row r="4822" spans="18:18" ht="13.8">
      <c r="R4822" s="10">
        <v>4794</v>
      </c>
    </row>
    <row r="4823" spans="18:18" ht="13.8">
      <c r="R4823" s="10">
        <v>4795</v>
      </c>
    </row>
    <row r="4824" spans="18:18" ht="13.8">
      <c r="R4824" s="10">
        <v>4796</v>
      </c>
    </row>
    <row r="4825" spans="18:18" ht="13.8">
      <c r="R4825" s="10">
        <v>4797</v>
      </c>
    </row>
    <row r="4826" spans="18:18" ht="13.8">
      <c r="R4826" s="10">
        <v>4798</v>
      </c>
    </row>
    <row r="4827" spans="18:18" ht="13.8">
      <c r="R4827" s="10">
        <v>4799</v>
      </c>
    </row>
    <row r="4828" spans="18:18" ht="13.8">
      <c r="R4828" s="10">
        <v>4800</v>
      </c>
    </row>
    <row r="4829" spans="18:18" ht="13.8">
      <c r="R4829" s="10">
        <v>4801</v>
      </c>
    </row>
    <row r="4830" spans="18:18" ht="13.8">
      <c r="R4830" s="10">
        <v>4802</v>
      </c>
    </row>
    <row r="4831" spans="18:18" ht="13.8">
      <c r="R4831" s="10">
        <v>4803</v>
      </c>
    </row>
    <row r="4832" spans="18:18" ht="13.8">
      <c r="R4832" s="10">
        <v>4804</v>
      </c>
    </row>
    <row r="4833" spans="18:18" ht="13.8">
      <c r="R4833" s="10">
        <v>4805</v>
      </c>
    </row>
    <row r="4834" spans="18:18" ht="13.8">
      <c r="R4834" s="10">
        <v>4806</v>
      </c>
    </row>
    <row r="4835" spans="18:18" ht="13.8">
      <c r="R4835" s="10">
        <v>4807</v>
      </c>
    </row>
    <row r="4836" spans="18:18" ht="13.8">
      <c r="R4836" s="10">
        <v>4808</v>
      </c>
    </row>
    <row r="4837" spans="18:18" ht="13.8">
      <c r="R4837" s="10">
        <v>4809</v>
      </c>
    </row>
    <row r="4838" spans="18:18" ht="13.8">
      <c r="R4838" s="10">
        <v>4810</v>
      </c>
    </row>
    <row r="4839" spans="18:18" ht="13.8">
      <c r="R4839" s="10">
        <v>4811</v>
      </c>
    </row>
    <row r="4840" spans="18:18" ht="13.8">
      <c r="R4840" s="10">
        <v>4812</v>
      </c>
    </row>
    <row r="4841" spans="18:18" ht="13.8">
      <c r="R4841" s="10">
        <v>4813</v>
      </c>
    </row>
    <row r="4842" spans="18:18" ht="13.8">
      <c r="R4842" s="10">
        <v>4814</v>
      </c>
    </row>
    <row r="4843" spans="18:18" ht="13.8">
      <c r="R4843" s="10">
        <v>4815</v>
      </c>
    </row>
    <row r="4844" spans="18:18" ht="13.8">
      <c r="R4844" s="10">
        <v>4816</v>
      </c>
    </row>
    <row r="4845" spans="18:18" ht="13.8">
      <c r="R4845" s="10">
        <v>4817</v>
      </c>
    </row>
    <row r="4846" spans="18:18" ht="13.8">
      <c r="R4846" s="10">
        <v>4818</v>
      </c>
    </row>
    <row r="4847" spans="18:18" ht="13.8">
      <c r="R4847" s="10">
        <v>4819</v>
      </c>
    </row>
    <row r="4848" spans="18:18" ht="13.8">
      <c r="R4848" s="10">
        <v>4820</v>
      </c>
    </row>
    <row r="4849" spans="18:18" ht="13.8">
      <c r="R4849" s="10">
        <v>4821</v>
      </c>
    </row>
    <row r="4850" spans="18:18" ht="13.8">
      <c r="R4850" s="10">
        <v>4822</v>
      </c>
    </row>
    <row r="4851" spans="18:18" ht="13.8">
      <c r="R4851" s="10">
        <v>4823</v>
      </c>
    </row>
    <row r="4852" spans="18:18" ht="13.8">
      <c r="R4852" s="10">
        <v>4824</v>
      </c>
    </row>
    <row r="4853" spans="18:18" ht="13.8">
      <c r="R4853" s="10">
        <v>4825</v>
      </c>
    </row>
    <row r="4854" spans="18:18" ht="13.8">
      <c r="R4854" s="10">
        <v>4826</v>
      </c>
    </row>
    <row r="4855" spans="18:18" ht="13.8">
      <c r="R4855" s="10">
        <v>4827</v>
      </c>
    </row>
    <row r="4856" spans="18:18" ht="13.8">
      <c r="R4856" s="10">
        <v>4828</v>
      </c>
    </row>
    <row r="4857" spans="18:18" ht="13.8">
      <c r="R4857" s="10">
        <v>4829</v>
      </c>
    </row>
    <row r="4858" spans="18:18" ht="13.8">
      <c r="R4858" s="10">
        <v>4830</v>
      </c>
    </row>
    <row r="4859" spans="18:18" ht="13.8">
      <c r="R4859" s="10">
        <v>4831</v>
      </c>
    </row>
    <row r="4860" spans="18:18" ht="13.8">
      <c r="R4860" s="10">
        <v>4832</v>
      </c>
    </row>
    <row r="4861" spans="18:18" ht="13.8">
      <c r="R4861" s="10">
        <v>4833</v>
      </c>
    </row>
    <row r="4862" spans="18:18" ht="13.8">
      <c r="R4862" s="10">
        <v>4834</v>
      </c>
    </row>
    <row r="4863" spans="18:18" ht="13.8">
      <c r="R4863" s="10">
        <v>4835</v>
      </c>
    </row>
    <row r="4864" spans="18:18" ht="13.8">
      <c r="R4864" s="10">
        <v>4836</v>
      </c>
    </row>
    <row r="4865" spans="18:18" ht="13.8">
      <c r="R4865" s="10">
        <v>4837</v>
      </c>
    </row>
    <row r="4866" spans="18:18" ht="13.8">
      <c r="R4866" s="10">
        <v>4838</v>
      </c>
    </row>
    <row r="4867" spans="18:18" ht="13.8">
      <c r="R4867" s="10">
        <v>4839</v>
      </c>
    </row>
    <row r="4868" spans="18:18" ht="13.8">
      <c r="R4868" s="10">
        <v>4840</v>
      </c>
    </row>
    <row r="4869" spans="18:18" ht="13.8">
      <c r="R4869" s="10">
        <v>4841</v>
      </c>
    </row>
    <row r="4870" spans="18:18" ht="13.8">
      <c r="R4870" s="10">
        <v>4842</v>
      </c>
    </row>
    <row r="4871" spans="18:18" ht="13.8">
      <c r="R4871" s="10">
        <v>4843</v>
      </c>
    </row>
    <row r="4872" spans="18:18" ht="13.8">
      <c r="R4872" s="10">
        <v>4844</v>
      </c>
    </row>
    <row r="4873" spans="18:18" ht="13.8">
      <c r="R4873" s="10">
        <v>4845</v>
      </c>
    </row>
    <row r="4874" spans="18:18" ht="13.8">
      <c r="R4874" s="10">
        <v>4846</v>
      </c>
    </row>
    <row r="4875" spans="18:18" ht="13.8">
      <c r="R4875" s="10">
        <v>4847</v>
      </c>
    </row>
    <row r="4876" spans="18:18" ht="13.8">
      <c r="R4876" s="10">
        <v>4848</v>
      </c>
    </row>
    <row r="4877" spans="18:18" ht="13.8">
      <c r="R4877" s="10">
        <v>4849</v>
      </c>
    </row>
    <row r="4878" spans="18:18" ht="13.8">
      <c r="R4878" s="10">
        <v>4850</v>
      </c>
    </row>
    <row r="4879" spans="18:18" ht="13.8">
      <c r="R4879" s="10">
        <v>4851</v>
      </c>
    </row>
    <row r="4880" spans="18:18" ht="13.8">
      <c r="R4880" s="10">
        <v>4852</v>
      </c>
    </row>
    <row r="4881" spans="18:18" ht="13.8">
      <c r="R4881" s="10">
        <v>4853</v>
      </c>
    </row>
    <row r="4882" spans="18:18" ht="13.8">
      <c r="R4882" s="10">
        <v>4854</v>
      </c>
    </row>
    <row r="4883" spans="18:18" ht="13.8">
      <c r="R4883" s="10">
        <v>4855</v>
      </c>
    </row>
    <row r="4884" spans="18:18" ht="13.8">
      <c r="R4884" s="10">
        <v>4856</v>
      </c>
    </row>
    <row r="4885" spans="18:18" ht="13.8">
      <c r="R4885" s="10">
        <v>4857</v>
      </c>
    </row>
    <row r="4886" spans="18:18" ht="13.8">
      <c r="R4886" s="10">
        <v>4858</v>
      </c>
    </row>
    <row r="4887" spans="18:18" ht="13.8">
      <c r="R4887" s="10">
        <v>4859</v>
      </c>
    </row>
    <row r="4888" spans="18:18" ht="13.8">
      <c r="R4888" s="10">
        <v>4860</v>
      </c>
    </row>
    <row r="4889" spans="18:18" ht="13.8">
      <c r="R4889" s="10">
        <v>4861</v>
      </c>
    </row>
    <row r="4890" spans="18:18" ht="13.8">
      <c r="R4890" s="10">
        <v>4862</v>
      </c>
    </row>
    <row r="4891" spans="18:18" ht="13.8">
      <c r="R4891" s="10">
        <v>4863</v>
      </c>
    </row>
    <row r="4892" spans="18:18" ht="13.8">
      <c r="R4892" s="10">
        <v>4864</v>
      </c>
    </row>
    <row r="4893" spans="18:18" ht="13.8">
      <c r="R4893" s="10">
        <v>4865</v>
      </c>
    </row>
    <row r="4894" spans="18:18" ht="13.8">
      <c r="R4894" s="10">
        <v>4866</v>
      </c>
    </row>
    <row r="4895" spans="18:18" ht="13.8">
      <c r="R4895" s="10">
        <v>4867</v>
      </c>
    </row>
    <row r="4896" spans="18:18" ht="13.8">
      <c r="R4896" s="10">
        <v>4868</v>
      </c>
    </row>
    <row r="4897" spans="18:18" ht="13.8">
      <c r="R4897" s="10">
        <v>4869</v>
      </c>
    </row>
    <row r="4898" spans="18:18" ht="13.8">
      <c r="R4898" s="10">
        <v>4870</v>
      </c>
    </row>
    <row r="4899" spans="18:18" ht="13.8">
      <c r="R4899" s="10">
        <v>4871</v>
      </c>
    </row>
    <row r="4900" spans="18:18" ht="13.8">
      <c r="R4900" s="10">
        <v>4872</v>
      </c>
    </row>
    <row r="4901" spans="18:18" ht="13.8">
      <c r="R4901" s="10">
        <v>4873</v>
      </c>
    </row>
    <row r="4902" spans="18:18" ht="13.8">
      <c r="R4902" s="10">
        <v>4874</v>
      </c>
    </row>
    <row r="4903" spans="18:18" ht="13.8">
      <c r="R4903" s="10">
        <v>4875</v>
      </c>
    </row>
    <row r="4904" spans="18:18" ht="13.8">
      <c r="R4904" s="10">
        <v>4876</v>
      </c>
    </row>
    <row r="4905" spans="18:18" ht="13.8">
      <c r="R4905" s="10">
        <v>4877</v>
      </c>
    </row>
    <row r="4906" spans="18:18" ht="13.8">
      <c r="R4906" s="10">
        <v>4878</v>
      </c>
    </row>
    <row r="4907" spans="18:18" ht="13.8">
      <c r="R4907" s="10">
        <v>4879</v>
      </c>
    </row>
    <row r="4908" spans="18:18" ht="13.8">
      <c r="R4908" s="10">
        <v>4880</v>
      </c>
    </row>
    <row r="4909" spans="18:18" ht="13.8">
      <c r="R4909" s="10">
        <v>4881</v>
      </c>
    </row>
    <row r="4910" spans="18:18" ht="13.8">
      <c r="R4910" s="10">
        <v>4882</v>
      </c>
    </row>
    <row r="4911" spans="18:18" ht="13.8">
      <c r="R4911" s="10">
        <v>4883</v>
      </c>
    </row>
    <row r="4912" spans="18:18" ht="13.8">
      <c r="R4912" s="10">
        <v>4884</v>
      </c>
    </row>
    <row r="4913" spans="18:18" ht="13.8">
      <c r="R4913" s="10">
        <v>4885</v>
      </c>
    </row>
    <row r="4914" spans="18:18" ht="13.8">
      <c r="R4914" s="10">
        <v>4886</v>
      </c>
    </row>
    <row r="4915" spans="18:18" ht="13.8">
      <c r="R4915" s="10">
        <v>4887</v>
      </c>
    </row>
    <row r="4916" spans="18:18" ht="13.8">
      <c r="R4916" s="10">
        <v>4888</v>
      </c>
    </row>
    <row r="4917" spans="18:18" ht="13.8">
      <c r="R4917" s="10">
        <v>4889</v>
      </c>
    </row>
    <row r="4918" spans="18:18" ht="13.8">
      <c r="R4918" s="10">
        <v>4890</v>
      </c>
    </row>
    <row r="4919" spans="18:18" ht="13.8">
      <c r="R4919" s="10">
        <v>4891</v>
      </c>
    </row>
    <row r="4920" spans="18:18" ht="13.8">
      <c r="R4920" s="10">
        <v>4892</v>
      </c>
    </row>
    <row r="4921" spans="18:18" ht="13.8">
      <c r="R4921" s="10">
        <v>4893</v>
      </c>
    </row>
    <row r="4922" spans="18:18" ht="13.8">
      <c r="R4922" s="10">
        <v>4894</v>
      </c>
    </row>
    <row r="4923" spans="18:18" ht="13.8">
      <c r="R4923" s="10">
        <v>4895</v>
      </c>
    </row>
    <row r="4924" spans="18:18" ht="13.8">
      <c r="R4924" s="10">
        <v>4896</v>
      </c>
    </row>
    <row r="4925" spans="18:18" ht="13.8">
      <c r="R4925" s="10">
        <v>4897</v>
      </c>
    </row>
    <row r="4926" spans="18:18" ht="13.8">
      <c r="R4926" s="10">
        <v>4898</v>
      </c>
    </row>
    <row r="4927" spans="18:18" ht="13.8">
      <c r="R4927" s="10">
        <v>4899</v>
      </c>
    </row>
    <row r="4928" spans="18:18" ht="13.8">
      <c r="R4928" s="10">
        <v>4900</v>
      </c>
    </row>
    <row r="4929" spans="18:18" ht="13.8">
      <c r="R4929" s="10">
        <v>4901</v>
      </c>
    </row>
    <row r="4930" spans="18:18" ht="13.8">
      <c r="R4930" s="10">
        <v>4902</v>
      </c>
    </row>
    <row r="4931" spans="18:18" ht="13.8">
      <c r="R4931" s="10">
        <v>4903</v>
      </c>
    </row>
    <row r="4932" spans="18:18" ht="13.8">
      <c r="R4932" s="10">
        <v>4904</v>
      </c>
    </row>
    <row r="4933" spans="18:18" ht="13.8">
      <c r="R4933" s="10">
        <v>4905</v>
      </c>
    </row>
    <row r="4934" spans="18:18" ht="13.8">
      <c r="R4934" s="10">
        <v>4906</v>
      </c>
    </row>
    <row r="4935" spans="18:18" ht="13.8">
      <c r="R4935" s="10">
        <v>4907</v>
      </c>
    </row>
    <row r="4936" spans="18:18" ht="13.8">
      <c r="R4936" s="10">
        <v>4908</v>
      </c>
    </row>
    <row r="4937" spans="18:18" ht="13.8">
      <c r="R4937" s="10">
        <v>4909</v>
      </c>
    </row>
    <row r="4938" spans="18:18" ht="13.8">
      <c r="R4938" s="10">
        <v>4910</v>
      </c>
    </row>
    <row r="4939" spans="18:18" ht="13.8">
      <c r="R4939" s="10">
        <v>4911</v>
      </c>
    </row>
    <row r="4940" spans="18:18" ht="13.8">
      <c r="R4940" s="10">
        <v>4912</v>
      </c>
    </row>
    <row r="4941" spans="18:18" ht="13.8">
      <c r="R4941" s="10">
        <v>4913</v>
      </c>
    </row>
    <row r="4942" spans="18:18" ht="13.8">
      <c r="R4942" s="10">
        <v>4914</v>
      </c>
    </row>
    <row r="4943" spans="18:18" ht="13.8">
      <c r="R4943" s="10">
        <v>4915</v>
      </c>
    </row>
    <row r="4944" spans="18:18" ht="13.8">
      <c r="R4944" s="10">
        <v>4916</v>
      </c>
    </row>
    <row r="4945" spans="18:18" ht="13.8">
      <c r="R4945" s="10">
        <v>4917</v>
      </c>
    </row>
    <row r="4946" spans="18:18" ht="13.8">
      <c r="R4946" s="10">
        <v>4918</v>
      </c>
    </row>
    <row r="4947" spans="18:18" ht="13.8">
      <c r="R4947" s="10">
        <v>4919</v>
      </c>
    </row>
    <row r="4948" spans="18:18" ht="13.8">
      <c r="R4948" s="10">
        <v>4920</v>
      </c>
    </row>
    <row r="4949" spans="18:18" ht="13.8">
      <c r="R4949" s="10">
        <v>4921</v>
      </c>
    </row>
    <row r="4950" spans="18:18" ht="13.8">
      <c r="R4950" s="10">
        <v>4922</v>
      </c>
    </row>
    <row r="4951" spans="18:18" ht="13.8">
      <c r="R4951" s="10">
        <v>4923</v>
      </c>
    </row>
    <row r="4952" spans="18:18" ht="13.8">
      <c r="R4952" s="10">
        <v>4924</v>
      </c>
    </row>
    <row r="4953" spans="18:18" ht="13.8">
      <c r="R4953" s="10">
        <v>4925</v>
      </c>
    </row>
    <row r="4954" spans="18:18" ht="13.8">
      <c r="R4954" s="10">
        <v>4926</v>
      </c>
    </row>
    <row r="4955" spans="18:18" ht="13.8">
      <c r="R4955" s="10">
        <v>4927</v>
      </c>
    </row>
    <row r="4956" spans="18:18" ht="13.8">
      <c r="R4956" s="10">
        <v>4928</v>
      </c>
    </row>
    <row r="4957" spans="18:18" ht="13.8">
      <c r="R4957" s="10">
        <v>4929</v>
      </c>
    </row>
    <row r="4958" spans="18:18" ht="13.8">
      <c r="R4958" s="10">
        <v>4930</v>
      </c>
    </row>
    <row r="4959" spans="18:18" ht="13.8">
      <c r="R4959" s="10">
        <v>4931</v>
      </c>
    </row>
    <row r="4960" spans="18:18" ht="13.8">
      <c r="R4960" s="10">
        <v>4932</v>
      </c>
    </row>
    <row r="4961" spans="18:18" ht="13.8">
      <c r="R4961" s="10">
        <v>4933</v>
      </c>
    </row>
    <row r="4962" spans="18:18" ht="13.8">
      <c r="R4962" s="10">
        <v>4934</v>
      </c>
    </row>
    <row r="4963" spans="18:18" ht="13.8">
      <c r="R4963" s="10">
        <v>4935</v>
      </c>
    </row>
    <row r="4964" spans="18:18" ht="13.8">
      <c r="R4964" s="10">
        <v>4936</v>
      </c>
    </row>
    <row r="4965" spans="18:18" ht="13.8">
      <c r="R4965" s="10">
        <v>4937</v>
      </c>
    </row>
    <row r="4966" spans="18:18" ht="13.8">
      <c r="R4966" s="10">
        <v>4938</v>
      </c>
    </row>
    <row r="4967" spans="18:18" ht="13.8">
      <c r="R4967" s="10">
        <v>4939</v>
      </c>
    </row>
    <row r="4968" spans="18:18" ht="13.8">
      <c r="R4968" s="10">
        <v>4940</v>
      </c>
    </row>
    <row r="4969" spans="18:18" ht="13.8">
      <c r="R4969" s="10">
        <v>4941</v>
      </c>
    </row>
    <row r="4970" spans="18:18" ht="13.8">
      <c r="R4970" s="10">
        <v>4942</v>
      </c>
    </row>
    <row r="4971" spans="18:18" ht="13.8">
      <c r="R4971" s="10">
        <v>4943</v>
      </c>
    </row>
    <row r="4972" spans="18:18" ht="13.8">
      <c r="R4972" s="10">
        <v>4944</v>
      </c>
    </row>
    <row r="4973" spans="18:18" ht="13.8">
      <c r="R4973" s="10">
        <v>4945</v>
      </c>
    </row>
    <row r="4974" spans="18:18" ht="13.8">
      <c r="R4974" s="10">
        <v>4946</v>
      </c>
    </row>
    <row r="4975" spans="18:18" ht="13.8">
      <c r="R4975" s="10">
        <v>4947</v>
      </c>
    </row>
    <row r="4976" spans="18:18" ht="13.8">
      <c r="R4976" s="10">
        <v>4948</v>
      </c>
    </row>
    <row r="4977" spans="18:18" ht="13.8">
      <c r="R4977" s="10">
        <v>4949</v>
      </c>
    </row>
    <row r="4978" spans="18:18" ht="13.8">
      <c r="R4978" s="10">
        <v>4950</v>
      </c>
    </row>
    <row r="4979" spans="18:18" ht="13.8">
      <c r="R4979" s="10">
        <v>4951</v>
      </c>
    </row>
    <row r="4980" spans="18:18" ht="13.8">
      <c r="R4980" s="10">
        <v>4952</v>
      </c>
    </row>
    <row r="4981" spans="18:18" ht="13.8">
      <c r="R4981" s="10">
        <v>4953</v>
      </c>
    </row>
    <row r="4982" spans="18:18" ht="13.8">
      <c r="R4982" s="10">
        <v>4954</v>
      </c>
    </row>
    <row r="4983" spans="18:18" ht="13.8">
      <c r="R4983" s="10">
        <v>4955</v>
      </c>
    </row>
    <row r="4984" spans="18:18" ht="13.8">
      <c r="R4984" s="10">
        <v>4956</v>
      </c>
    </row>
    <row r="4985" spans="18:18" ht="13.8">
      <c r="R4985" s="10">
        <v>4957</v>
      </c>
    </row>
    <row r="4986" spans="18:18" ht="13.8">
      <c r="R4986" s="10">
        <v>4958</v>
      </c>
    </row>
    <row r="4987" spans="18:18" ht="13.8">
      <c r="R4987" s="10">
        <v>4959</v>
      </c>
    </row>
    <row r="4988" spans="18:18" ht="13.8">
      <c r="R4988" s="10">
        <v>4960</v>
      </c>
    </row>
    <row r="4989" spans="18:18" ht="13.8">
      <c r="R4989" s="10">
        <v>4961</v>
      </c>
    </row>
    <row r="4990" spans="18:18" ht="13.8">
      <c r="R4990" s="10">
        <v>4962</v>
      </c>
    </row>
    <row r="4991" spans="18:18" ht="13.8">
      <c r="R4991" s="10">
        <v>4963</v>
      </c>
    </row>
    <row r="4992" spans="18:18" ht="13.8">
      <c r="R4992" s="10">
        <v>4964</v>
      </c>
    </row>
    <row r="4993" spans="18:18" ht="13.8">
      <c r="R4993" s="10">
        <v>4965</v>
      </c>
    </row>
    <row r="4994" spans="18:18" ht="13.8">
      <c r="R4994" s="10">
        <v>4966</v>
      </c>
    </row>
    <row r="4995" spans="18:18" ht="13.8">
      <c r="R4995" s="10">
        <v>4967</v>
      </c>
    </row>
    <row r="4996" spans="18:18" ht="13.8">
      <c r="R4996" s="10">
        <v>4968</v>
      </c>
    </row>
    <row r="4997" spans="18:18" ht="13.8">
      <c r="R4997" s="10">
        <v>4969</v>
      </c>
    </row>
    <row r="4998" spans="18:18" ht="13.8">
      <c r="R4998" s="10">
        <v>4970</v>
      </c>
    </row>
    <row r="4999" spans="18:18" ht="13.8">
      <c r="R4999" s="10">
        <v>4971</v>
      </c>
    </row>
    <row r="5000" spans="18:18" ht="13.8">
      <c r="R5000" s="10">
        <v>4972</v>
      </c>
    </row>
    <row r="5001" spans="18:18" ht="13.8">
      <c r="R5001" s="10">
        <v>4973</v>
      </c>
    </row>
    <row r="5002" spans="18:18" ht="13.8">
      <c r="R5002" s="10">
        <v>4974</v>
      </c>
    </row>
    <row r="5003" spans="18:18" ht="13.8">
      <c r="R5003" s="10">
        <v>4975</v>
      </c>
    </row>
    <row r="5004" spans="18:18" ht="13.8">
      <c r="R5004" s="10">
        <v>4976</v>
      </c>
    </row>
    <row r="5005" spans="18:18" ht="13.8">
      <c r="R5005" s="10">
        <v>4977</v>
      </c>
    </row>
    <row r="5006" spans="18:18" ht="13.8">
      <c r="R5006" s="10">
        <v>4978</v>
      </c>
    </row>
    <row r="5007" spans="18:18" ht="13.8">
      <c r="R5007" s="10">
        <v>4979</v>
      </c>
    </row>
    <row r="5008" spans="18:18" ht="13.8">
      <c r="R5008" s="10">
        <v>4980</v>
      </c>
    </row>
    <row r="5009" spans="18:18" ht="13.8">
      <c r="R5009" s="10">
        <v>4981</v>
      </c>
    </row>
    <row r="5010" spans="18:18" ht="13.8">
      <c r="R5010" s="10">
        <v>4982</v>
      </c>
    </row>
    <row r="5011" spans="18:18" ht="13.8">
      <c r="R5011" s="10">
        <v>4983</v>
      </c>
    </row>
    <row r="5012" spans="18:18" ht="13.8">
      <c r="R5012" s="10">
        <v>4984</v>
      </c>
    </row>
    <row r="5013" spans="18:18" ht="13.8">
      <c r="R5013" s="10">
        <v>4985</v>
      </c>
    </row>
    <row r="5014" spans="18:18" ht="13.8">
      <c r="R5014" s="10">
        <v>4986</v>
      </c>
    </row>
    <row r="5015" spans="18:18" ht="13.8">
      <c r="R5015" s="10">
        <v>4987</v>
      </c>
    </row>
    <row r="5016" spans="18:18" ht="13.8">
      <c r="R5016" s="10">
        <v>4988</v>
      </c>
    </row>
    <row r="5017" spans="18:18" ht="13.8">
      <c r="R5017" s="10">
        <v>4989</v>
      </c>
    </row>
    <row r="5018" spans="18:18" ht="13.8">
      <c r="R5018" s="10">
        <v>4990</v>
      </c>
    </row>
    <row r="5019" spans="18:18" ht="13.8">
      <c r="R5019" s="10">
        <v>4991</v>
      </c>
    </row>
    <row r="5020" spans="18:18" ht="13.8">
      <c r="R5020" s="10">
        <v>4992</v>
      </c>
    </row>
    <row r="5021" spans="18:18" ht="13.8">
      <c r="R5021" s="10">
        <v>4993</v>
      </c>
    </row>
    <row r="5022" spans="18:18" ht="13.8">
      <c r="R5022" s="10">
        <v>4994</v>
      </c>
    </row>
    <row r="5023" spans="18:18" ht="13.8">
      <c r="R5023" s="10">
        <v>4995</v>
      </c>
    </row>
    <row r="5024" spans="18:18" ht="13.8">
      <c r="R5024" s="10">
        <v>4996</v>
      </c>
    </row>
    <row r="5025" spans="18:18" ht="13.8">
      <c r="R5025" s="10">
        <v>4997</v>
      </c>
    </row>
    <row r="5026" spans="18:18" ht="13.8">
      <c r="R5026" s="10">
        <v>4998</v>
      </c>
    </row>
    <row r="5027" spans="18:18" ht="13.8">
      <c r="R5027" s="10">
        <v>4999</v>
      </c>
    </row>
    <row r="5028" spans="18:18" ht="13.8">
      <c r="R5028" s="10">
        <v>5000</v>
      </c>
    </row>
    <row r="5029" spans="18:18" ht="13.8">
      <c r="R5029" s="10">
        <v>5001</v>
      </c>
    </row>
    <row r="5030" spans="18:18" ht="13.8">
      <c r="R5030" s="10">
        <v>5002</v>
      </c>
    </row>
    <row r="5031" spans="18:18" ht="13.8">
      <c r="R5031" s="10">
        <v>5003</v>
      </c>
    </row>
    <row r="5032" spans="18:18" ht="13.8">
      <c r="R5032" s="10">
        <v>5004</v>
      </c>
    </row>
    <row r="5033" spans="18:18" ht="13.8">
      <c r="R5033" s="10">
        <v>5005</v>
      </c>
    </row>
    <row r="5034" spans="18:18" ht="13.8">
      <c r="R5034" s="10">
        <v>5006</v>
      </c>
    </row>
    <row r="5035" spans="18:18" ht="13.8">
      <c r="R5035" s="10">
        <v>5007</v>
      </c>
    </row>
    <row r="5036" spans="18:18" ht="13.8">
      <c r="R5036" s="10">
        <v>5008</v>
      </c>
    </row>
    <row r="5037" spans="18:18" ht="13.8">
      <c r="R5037" s="10">
        <v>5009</v>
      </c>
    </row>
    <row r="5038" spans="18:18" ht="13.8">
      <c r="R5038" s="10">
        <v>5010</v>
      </c>
    </row>
    <row r="5039" spans="18:18" ht="13.8">
      <c r="R5039" s="10">
        <v>5011</v>
      </c>
    </row>
    <row r="5040" spans="18:18" ht="13.8">
      <c r="R5040" s="10">
        <v>5012</v>
      </c>
    </row>
    <row r="5041" spans="18:18" ht="13.8">
      <c r="R5041" s="10">
        <v>5013</v>
      </c>
    </row>
    <row r="5042" spans="18:18" ht="13.8">
      <c r="R5042" s="10">
        <v>5014</v>
      </c>
    </row>
    <row r="5043" spans="18:18" ht="13.8">
      <c r="R5043" s="10">
        <v>5015</v>
      </c>
    </row>
    <row r="5044" spans="18:18" ht="13.8">
      <c r="R5044" s="10">
        <v>5016</v>
      </c>
    </row>
    <row r="5045" spans="18:18" ht="13.8">
      <c r="R5045" s="10">
        <v>5017</v>
      </c>
    </row>
    <row r="5046" spans="18:18" ht="13.8">
      <c r="R5046" s="10">
        <v>5018</v>
      </c>
    </row>
    <row r="5047" spans="18:18" ht="13.8">
      <c r="R5047" s="10">
        <v>5019</v>
      </c>
    </row>
    <row r="5048" spans="18:18" ht="13.8">
      <c r="R5048" s="10">
        <v>5020</v>
      </c>
    </row>
    <row r="5049" spans="18:18" ht="13.8">
      <c r="R5049" s="10">
        <v>5021</v>
      </c>
    </row>
    <row r="5050" spans="18:18" ht="13.8">
      <c r="R5050" s="10">
        <v>5022</v>
      </c>
    </row>
    <row r="5051" spans="18:18" ht="13.8">
      <c r="R5051" s="10">
        <v>5023</v>
      </c>
    </row>
    <row r="5052" spans="18:18" ht="13.8">
      <c r="R5052" s="10">
        <v>5024</v>
      </c>
    </row>
    <row r="5053" spans="18:18" ht="13.8">
      <c r="R5053" s="10">
        <v>5025</v>
      </c>
    </row>
    <row r="5054" spans="18:18" ht="13.8">
      <c r="R5054" s="10">
        <v>5026</v>
      </c>
    </row>
    <row r="5055" spans="18:18" ht="13.8">
      <c r="R5055" s="10">
        <v>5027</v>
      </c>
    </row>
    <row r="5056" spans="18:18" ht="13.8">
      <c r="R5056" s="10">
        <v>5028</v>
      </c>
    </row>
    <row r="5057" spans="18:18" ht="13.8">
      <c r="R5057" s="10">
        <v>5029</v>
      </c>
    </row>
    <row r="5058" spans="18:18" ht="13.8">
      <c r="R5058" s="10">
        <v>5030</v>
      </c>
    </row>
    <row r="5059" spans="18:18" ht="13.8">
      <c r="R5059" s="10">
        <v>5031</v>
      </c>
    </row>
    <row r="5060" spans="18:18" ht="13.8">
      <c r="R5060" s="10">
        <v>5032</v>
      </c>
    </row>
    <row r="5061" spans="18:18" ht="13.8">
      <c r="R5061" s="10">
        <v>5033</v>
      </c>
    </row>
    <row r="5062" spans="18:18" ht="13.8">
      <c r="R5062" s="10">
        <v>5034</v>
      </c>
    </row>
    <row r="5063" spans="18:18" ht="13.8">
      <c r="R5063" s="10">
        <v>5035</v>
      </c>
    </row>
    <row r="5064" spans="18:18" ht="13.8">
      <c r="R5064" s="10">
        <v>5036</v>
      </c>
    </row>
    <row r="5065" spans="18:18" ht="13.8">
      <c r="R5065" s="10">
        <v>5037</v>
      </c>
    </row>
    <row r="5066" spans="18:18" ht="13.8">
      <c r="R5066" s="10">
        <v>5038</v>
      </c>
    </row>
    <row r="5067" spans="18:18" ht="13.8">
      <c r="R5067" s="10">
        <v>5039</v>
      </c>
    </row>
    <row r="5068" spans="18:18" ht="13.8">
      <c r="R5068" s="10">
        <v>5040</v>
      </c>
    </row>
    <row r="5069" spans="18:18" ht="13.8">
      <c r="R5069" s="10">
        <v>5041</v>
      </c>
    </row>
    <row r="5070" spans="18:18" ht="13.8">
      <c r="R5070" s="10">
        <v>5042</v>
      </c>
    </row>
    <row r="5071" spans="18:18" ht="13.8">
      <c r="R5071" s="10">
        <v>5043</v>
      </c>
    </row>
    <row r="5072" spans="18:18" ht="13.8">
      <c r="R5072" s="10">
        <v>5044</v>
      </c>
    </row>
    <row r="5073" spans="18:18" ht="13.8">
      <c r="R5073" s="10">
        <v>5045</v>
      </c>
    </row>
    <row r="5074" spans="18:18" ht="13.8">
      <c r="R5074" s="10">
        <v>5046</v>
      </c>
    </row>
    <row r="5075" spans="18:18" ht="13.8">
      <c r="R5075" s="10">
        <v>5047</v>
      </c>
    </row>
    <row r="5076" spans="18:18" ht="13.8">
      <c r="R5076" s="10">
        <v>5048</v>
      </c>
    </row>
    <row r="5077" spans="18:18" ht="13.8">
      <c r="R5077" s="10">
        <v>5049</v>
      </c>
    </row>
    <row r="5078" spans="18:18" ht="13.8">
      <c r="R5078" s="10">
        <v>5050</v>
      </c>
    </row>
    <row r="5079" spans="18:18" ht="13.8">
      <c r="R5079" s="10">
        <v>5051</v>
      </c>
    </row>
    <row r="5080" spans="18:18" ht="13.8">
      <c r="R5080" s="10">
        <v>5052</v>
      </c>
    </row>
    <row r="5081" spans="18:18" ht="13.8">
      <c r="R5081" s="10">
        <v>5053</v>
      </c>
    </row>
    <row r="5082" spans="18:18" ht="13.8">
      <c r="R5082" s="10">
        <v>5054</v>
      </c>
    </row>
    <row r="5083" spans="18:18" ht="13.8">
      <c r="R5083" s="10">
        <v>5055</v>
      </c>
    </row>
    <row r="5084" spans="18:18" ht="13.8">
      <c r="R5084" s="10">
        <v>5056</v>
      </c>
    </row>
    <row r="5085" spans="18:18" ht="13.8">
      <c r="R5085" s="10">
        <v>5057</v>
      </c>
    </row>
    <row r="5086" spans="18:18" ht="13.8">
      <c r="R5086" s="10">
        <v>5058</v>
      </c>
    </row>
    <row r="5087" spans="18:18" ht="13.8">
      <c r="R5087" s="10">
        <v>5059</v>
      </c>
    </row>
    <row r="5088" spans="18:18" ht="13.8">
      <c r="R5088" s="10">
        <v>5060</v>
      </c>
    </row>
    <row r="5089" spans="18:18" ht="13.8">
      <c r="R5089" s="10">
        <v>5061</v>
      </c>
    </row>
    <row r="5090" spans="18:18" ht="13.8">
      <c r="R5090" s="10">
        <v>5062</v>
      </c>
    </row>
    <row r="5091" spans="18:18" ht="13.8">
      <c r="R5091" s="10">
        <v>5063</v>
      </c>
    </row>
    <row r="5092" spans="18:18" ht="13.8">
      <c r="R5092" s="10">
        <v>5064</v>
      </c>
    </row>
    <row r="5093" spans="18:18" ht="13.8">
      <c r="R5093" s="10">
        <v>5065</v>
      </c>
    </row>
    <row r="5094" spans="18:18" ht="13.8">
      <c r="R5094" s="10">
        <v>5066</v>
      </c>
    </row>
    <row r="5095" spans="18:18" ht="13.8">
      <c r="R5095" s="10">
        <v>5067</v>
      </c>
    </row>
    <row r="5096" spans="18:18" ht="13.8">
      <c r="R5096" s="10">
        <v>5068</v>
      </c>
    </row>
    <row r="5097" spans="18:18" ht="13.8">
      <c r="R5097" s="10">
        <v>5069</v>
      </c>
    </row>
    <row r="5098" spans="18:18" ht="13.8">
      <c r="R5098" s="10">
        <v>5070</v>
      </c>
    </row>
    <row r="5099" spans="18:18" ht="13.8">
      <c r="R5099" s="10">
        <v>5071</v>
      </c>
    </row>
    <row r="5100" spans="18:18" ht="13.8">
      <c r="R5100" s="10">
        <v>5072</v>
      </c>
    </row>
    <row r="5101" spans="18:18" ht="13.8">
      <c r="R5101" s="10">
        <v>5073</v>
      </c>
    </row>
    <row r="5102" spans="18:18" ht="13.8">
      <c r="R5102" s="10">
        <v>5074</v>
      </c>
    </row>
    <row r="5103" spans="18:18" ht="13.8">
      <c r="R5103" s="10">
        <v>5075</v>
      </c>
    </row>
    <row r="5104" spans="18:18" ht="13.8">
      <c r="R5104" s="10">
        <v>5076</v>
      </c>
    </row>
    <row r="5105" spans="18:18" ht="13.8">
      <c r="R5105" s="10">
        <v>5077</v>
      </c>
    </row>
    <row r="5106" spans="18:18" ht="13.8">
      <c r="R5106" s="10">
        <v>5078</v>
      </c>
    </row>
    <row r="5107" spans="18:18" ht="13.8">
      <c r="R5107" s="10">
        <v>5079</v>
      </c>
    </row>
    <row r="5108" spans="18:18" ht="13.8">
      <c r="R5108" s="10">
        <v>5080</v>
      </c>
    </row>
    <row r="5109" spans="18:18" ht="13.8">
      <c r="R5109" s="10">
        <v>5081</v>
      </c>
    </row>
    <row r="5110" spans="18:18" ht="13.8">
      <c r="R5110" s="10">
        <v>5082</v>
      </c>
    </row>
    <row r="5111" spans="18:18" ht="13.8">
      <c r="R5111" s="10">
        <v>5083</v>
      </c>
    </row>
    <row r="5112" spans="18:18" ht="13.8">
      <c r="R5112" s="10">
        <v>5084</v>
      </c>
    </row>
    <row r="5113" spans="18:18" ht="13.8">
      <c r="R5113" s="10">
        <v>5085</v>
      </c>
    </row>
    <row r="5114" spans="18:18" ht="13.8">
      <c r="R5114" s="10">
        <v>5086</v>
      </c>
    </row>
    <row r="5115" spans="18:18" ht="13.8">
      <c r="R5115" s="10">
        <v>5087</v>
      </c>
    </row>
    <row r="5116" spans="18:18" ht="13.8">
      <c r="R5116" s="10">
        <v>5088</v>
      </c>
    </row>
    <row r="5117" spans="18:18" ht="13.8">
      <c r="R5117" s="10">
        <v>5089</v>
      </c>
    </row>
    <row r="5118" spans="18:18" ht="13.8">
      <c r="R5118" s="10">
        <v>5090</v>
      </c>
    </row>
    <row r="5119" spans="18:18" ht="13.8">
      <c r="R5119" s="10">
        <v>5091</v>
      </c>
    </row>
    <row r="5120" spans="18:18" ht="13.8">
      <c r="R5120" s="10">
        <v>5092</v>
      </c>
    </row>
    <row r="5121" spans="18:18" ht="13.8">
      <c r="R5121" s="10">
        <v>5093</v>
      </c>
    </row>
    <row r="5122" spans="18:18" ht="13.8">
      <c r="R5122" s="10">
        <v>5094</v>
      </c>
    </row>
    <row r="5123" spans="18:18" ht="13.8">
      <c r="R5123" s="10">
        <v>5095</v>
      </c>
    </row>
    <row r="5124" spans="18:18" ht="13.8">
      <c r="R5124" s="10">
        <v>5096</v>
      </c>
    </row>
    <row r="5125" spans="18:18" ht="13.8">
      <c r="R5125" s="10">
        <v>5097</v>
      </c>
    </row>
    <row r="5126" spans="18:18" ht="13.8">
      <c r="R5126" s="10">
        <v>5098</v>
      </c>
    </row>
    <row r="5127" spans="18:18" ht="13.8">
      <c r="R5127" s="10">
        <v>5099</v>
      </c>
    </row>
    <row r="5128" spans="18:18" ht="13.8">
      <c r="R5128" s="10">
        <v>5100</v>
      </c>
    </row>
    <row r="5129" spans="18:18" ht="13.8">
      <c r="R5129" s="10">
        <v>5101</v>
      </c>
    </row>
    <row r="5130" spans="18:18" ht="13.8">
      <c r="R5130" s="10">
        <v>5102</v>
      </c>
    </row>
    <row r="5131" spans="18:18" ht="13.8">
      <c r="R5131" s="10">
        <v>5103</v>
      </c>
    </row>
    <row r="5132" spans="18:18" ht="13.8">
      <c r="R5132" s="10">
        <v>5104</v>
      </c>
    </row>
    <row r="5133" spans="18:18" ht="13.8">
      <c r="R5133" s="10">
        <v>5105</v>
      </c>
    </row>
    <row r="5134" spans="18:18" ht="13.8">
      <c r="R5134" s="10">
        <v>5106</v>
      </c>
    </row>
    <row r="5135" spans="18:18" ht="13.8">
      <c r="R5135" s="10">
        <v>5107</v>
      </c>
    </row>
    <row r="5136" spans="18:18" ht="13.8">
      <c r="R5136" s="10">
        <v>5108</v>
      </c>
    </row>
    <row r="5137" spans="18:18" ht="13.8">
      <c r="R5137" s="10">
        <v>5109</v>
      </c>
    </row>
    <row r="5138" spans="18:18" ht="13.8">
      <c r="R5138" s="10">
        <v>5110</v>
      </c>
    </row>
    <row r="5139" spans="18:18" ht="13.8">
      <c r="R5139" s="10">
        <v>5111</v>
      </c>
    </row>
    <row r="5140" spans="18:18" ht="13.8">
      <c r="R5140" s="10">
        <v>5112</v>
      </c>
    </row>
    <row r="5141" spans="18:18" ht="13.8">
      <c r="R5141" s="10">
        <v>5113</v>
      </c>
    </row>
    <row r="5142" spans="18:18" ht="13.8">
      <c r="R5142" s="10">
        <v>5114</v>
      </c>
    </row>
    <row r="5143" spans="18:18" ht="13.8">
      <c r="R5143" s="10">
        <v>5115</v>
      </c>
    </row>
    <row r="5144" spans="18:18" ht="13.8">
      <c r="R5144" s="10">
        <v>5116</v>
      </c>
    </row>
    <row r="5145" spans="18:18" ht="13.8">
      <c r="R5145" s="10">
        <v>5117</v>
      </c>
    </row>
    <row r="5146" spans="18:18" ht="13.8">
      <c r="R5146" s="10">
        <v>5118</v>
      </c>
    </row>
    <row r="5147" spans="18:18" ht="13.8">
      <c r="R5147" s="10">
        <v>5119</v>
      </c>
    </row>
    <row r="5148" spans="18:18" ht="13.8">
      <c r="R5148" s="10">
        <v>5120</v>
      </c>
    </row>
    <row r="5149" spans="18:18" ht="13.8">
      <c r="R5149" s="10">
        <v>5121</v>
      </c>
    </row>
    <row r="5150" spans="18:18" ht="13.8">
      <c r="R5150" s="10">
        <v>5122</v>
      </c>
    </row>
    <row r="5151" spans="18:18" ht="13.8">
      <c r="R5151" s="10">
        <v>5123</v>
      </c>
    </row>
    <row r="5152" spans="18:18" ht="13.8">
      <c r="R5152" s="10">
        <v>5124</v>
      </c>
    </row>
    <row r="5153" spans="18:18" ht="13.8">
      <c r="R5153" s="10">
        <v>5125</v>
      </c>
    </row>
    <row r="5154" spans="18:18" ht="13.8">
      <c r="R5154" s="10">
        <v>5126</v>
      </c>
    </row>
    <row r="5155" spans="18:18" ht="13.8">
      <c r="R5155" s="10">
        <v>5127</v>
      </c>
    </row>
    <row r="5156" spans="18:18" ht="13.8">
      <c r="R5156" s="10">
        <v>5128</v>
      </c>
    </row>
    <row r="5157" spans="18:18" ht="13.8">
      <c r="R5157" s="10">
        <v>5129</v>
      </c>
    </row>
    <row r="5158" spans="18:18" ht="13.8">
      <c r="R5158" s="10">
        <v>5130</v>
      </c>
    </row>
    <row r="5159" spans="18:18" ht="13.8">
      <c r="R5159" s="10">
        <v>5131</v>
      </c>
    </row>
    <row r="5160" spans="18:18" ht="13.8">
      <c r="R5160" s="10">
        <v>5132</v>
      </c>
    </row>
    <row r="5161" spans="18:18" ht="13.8">
      <c r="R5161" s="10">
        <v>5133</v>
      </c>
    </row>
    <row r="5162" spans="18:18" ht="13.8">
      <c r="R5162" s="10">
        <v>5134</v>
      </c>
    </row>
    <row r="5163" spans="18:18" ht="13.8">
      <c r="R5163" s="10">
        <v>5135</v>
      </c>
    </row>
    <row r="5164" spans="18:18" ht="13.8">
      <c r="R5164" s="10">
        <v>5136</v>
      </c>
    </row>
    <row r="5165" spans="18:18" ht="13.8">
      <c r="R5165" s="10">
        <v>5137</v>
      </c>
    </row>
    <row r="5166" spans="18:18" ht="13.8">
      <c r="R5166" s="10">
        <v>5138</v>
      </c>
    </row>
    <row r="5167" spans="18:18" ht="13.8">
      <c r="R5167" s="10">
        <v>5139</v>
      </c>
    </row>
    <row r="5168" spans="18:18" ht="13.8">
      <c r="R5168" s="10">
        <v>5140</v>
      </c>
    </row>
    <row r="5169" spans="18:18" ht="13.8">
      <c r="R5169" s="10">
        <v>5141</v>
      </c>
    </row>
    <row r="5170" spans="18:18" ht="13.8">
      <c r="R5170" s="10">
        <v>5142</v>
      </c>
    </row>
    <row r="5171" spans="18:18" ht="13.8">
      <c r="R5171" s="10">
        <v>5143</v>
      </c>
    </row>
    <row r="5172" spans="18:18" ht="13.8">
      <c r="R5172" s="10">
        <v>5144</v>
      </c>
    </row>
    <row r="5173" spans="18:18" ht="13.8">
      <c r="R5173" s="10">
        <v>5145</v>
      </c>
    </row>
    <row r="5174" spans="18:18" ht="13.8">
      <c r="R5174" s="10">
        <v>5146</v>
      </c>
    </row>
    <row r="5175" spans="18:18" ht="13.8">
      <c r="R5175" s="10">
        <v>5147</v>
      </c>
    </row>
    <row r="5176" spans="18:18" ht="13.8">
      <c r="R5176" s="10">
        <v>5148</v>
      </c>
    </row>
    <row r="5177" spans="18:18" ht="13.8">
      <c r="R5177" s="10">
        <v>5149</v>
      </c>
    </row>
    <row r="5178" spans="18:18" ht="13.8">
      <c r="R5178" s="10">
        <v>5150</v>
      </c>
    </row>
    <row r="5179" spans="18:18" ht="13.8">
      <c r="R5179" s="10">
        <v>5151</v>
      </c>
    </row>
    <row r="5180" spans="18:18" ht="13.8">
      <c r="R5180" s="10">
        <v>5152</v>
      </c>
    </row>
    <row r="5181" spans="18:18" ht="13.8">
      <c r="R5181" s="10">
        <v>5153</v>
      </c>
    </row>
    <row r="5182" spans="18:18" ht="13.8">
      <c r="R5182" s="10">
        <v>5154</v>
      </c>
    </row>
    <row r="5183" spans="18:18" ht="13.8">
      <c r="R5183" s="10">
        <v>5155</v>
      </c>
    </row>
    <row r="5184" spans="18:18" ht="13.8">
      <c r="R5184" s="10">
        <v>5156</v>
      </c>
    </row>
    <row r="5185" spans="18:18" ht="13.8">
      <c r="R5185" s="10">
        <v>5157</v>
      </c>
    </row>
    <row r="5186" spans="18:18" ht="13.8">
      <c r="R5186" s="10">
        <v>5158</v>
      </c>
    </row>
    <row r="5187" spans="18:18" ht="13.8">
      <c r="R5187" s="10">
        <v>5159</v>
      </c>
    </row>
    <row r="5188" spans="18:18" ht="13.8">
      <c r="R5188" s="10">
        <v>5160</v>
      </c>
    </row>
    <row r="5189" spans="18:18" ht="13.8">
      <c r="R5189" s="10">
        <v>5161</v>
      </c>
    </row>
    <row r="5190" spans="18:18" ht="13.8">
      <c r="R5190" s="10">
        <v>5162</v>
      </c>
    </row>
    <row r="5191" spans="18:18" ht="13.8">
      <c r="R5191" s="10">
        <v>5163</v>
      </c>
    </row>
    <row r="5192" spans="18:18" ht="13.8">
      <c r="R5192" s="10">
        <v>5164</v>
      </c>
    </row>
    <row r="5193" spans="18:18" ht="13.8">
      <c r="R5193" s="10">
        <v>5165</v>
      </c>
    </row>
    <row r="5194" spans="18:18" ht="13.8">
      <c r="R5194" s="10">
        <v>5166</v>
      </c>
    </row>
    <row r="5195" spans="18:18" ht="13.8">
      <c r="R5195" s="10">
        <v>5167</v>
      </c>
    </row>
    <row r="5196" spans="18:18" ht="13.8">
      <c r="R5196" s="10">
        <v>5168</v>
      </c>
    </row>
    <row r="5197" spans="18:18" ht="13.8">
      <c r="R5197" s="10">
        <v>5169</v>
      </c>
    </row>
    <row r="5198" spans="18:18" ht="13.8">
      <c r="R5198" s="10">
        <v>5170</v>
      </c>
    </row>
    <row r="5199" spans="18:18" ht="13.8">
      <c r="R5199" s="10">
        <v>5171</v>
      </c>
    </row>
    <row r="5200" spans="18:18" ht="13.8">
      <c r="R5200" s="10">
        <v>5172</v>
      </c>
    </row>
    <row r="5201" spans="18:18" ht="13.8">
      <c r="R5201" s="10">
        <v>5173</v>
      </c>
    </row>
    <row r="5202" spans="18:18" ht="13.8">
      <c r="R5202" s="10">
        <v>5174</v>
      </c>
    </row>
    <row r="5203" spans="18:18" ht="13.8">
      <c r="R5203" s="10">
        <v>5175</v>
      </c>
    </row>
    <row r="5204" spans="18:18" ht="13.8">
      <c r="R5204" s="10">
        <v>5176</v>
      </c>
    </row>
    <row r="5205" spans="18:18" ht="13.8">
      <c r="R5205" s="10">
        <v>5177</v>
      </c>
    </row>
    <row r="5206" spans="18:18" ht="13.8">
      <c r="R5206" s="10">
        <v>5178</v>
      </c>
    </row>
    <row r="5207" spans="18:18" ht="13.8">
      <c r="R5207" s="10">
        <v>5179</v>
      </c>
    </row>
    <row r="5208" spans="18:18" ht="13.8">
      <c r="R5208" s="10">
        <v>5180</v>
      </c>
    </row>
    <row r="5209" spans="18:18" ht="13.8">
      <c r="R5209" s="10">
        <v>5181</v>
      </c>
    </row>
    <row r="5210" spans="18:18" ht="13.8">
      <c r="R5210" s="10">
        <v>5182</v>
      </c>
    </row>
    <row r="5211" spans="18:18" ht="13.8">
      <c r="R5211" s="10">
        <v>5183</v>
      </c>
    </row>
    <row r="5212" spans="18:18" ht="13.8">
      <c r="R5212" s="10">
        <v>5184</v>
      </c>
    </row>
    <row r="5213" spans="18:18" ht="13.8">
      <c r="R5213" s="10">
        <v>5185</v>
      </c>
    </row>
    <row r="5214" spans="18:18" ht="13.8">
      <c r="R5214" s="10">
        <v>5186</v>
      </c>
    </row>
    <row r="5215" spans="18:18" ht="13.8">
      <c r="R5215" s="10">
        <v>5187</v>
      </c>
    </row>
    <row r="5216" spans="18:18" ht="13.8">
      <c r="R5216" s="10">
        <v>5188</v>
      </c>
    </row>
    <row r="5217" spans="18:18" ht="13.8">
      <c r="R5217" s="10">
        <v>5189</v>
      </c>
    </row>
    <row r="5218" spans="18:18" ht="13.8">
      <c r="R5218" s="10">
        <v>5190</v>
      </c>
    </row>
    <row r="5219" spans="18:18" ht="13.8">
      <c r="R5219" s="10">
        <v>5191</v>
      </c>
    </row>
    <row r="5220" spans="18:18" ht="13.8">
      <c r="R5220" s="10">
        <v>5192</v>
      </c>
    </row>
    <row r="5221" spans="18:18" ht="13.8">
      <c r="R5221" s="10">
        <v>5193</v>
      </c>
    </row>
    <row r="5222" spans="18:18" ht="13.8">
      <c r="R5222" s="10">
        <v>5194</v>
      </c>
    </row>
    <row r="5223" spans="18:18" ht="13.8">
      <c r="R5223" s="10">
        <v>5195</v>
      </c>
    </row>
    <row r="5224" spans="18:18" ht="13.8">
      <c r="R5224" s="10">
        <v>5196</v>
      </c>
    </row>
    <row r="5225" spans="18:18" ht="13.8">
      <c r="R5225" s="10">
        <v>5197</v>
      </c>
    </row>
    <row r="5226" spans="18:18" ht="13.8">
      <c r="R5226" s="10">
        <v>5198</v>
      </c>
    </row>
    <row r="5227" spans="18:18" ht="13.8">
      <c r="R5227" s="10">
        <v>5199</v>
      </c>
    </row>
    <row r="5228" spans="18:18" ht="13.8">
      <c r="R5228" s="10">
        <v>5200</v>
      </c>
    </row>
    <row r="5229" spans="18:18" ht="13.8">
      <c r="R5229" s="10">
        <v>5201</v>
      </c>
    </row>
    <row r="5230" spans="18:18" ht="13.8">
      <c r="R5230" s="10">
        <v>5202</v>
      </c>
    </row>
    <row r="5231" spans="18:18" ht="13.8">
      <c r="R5231" s="10">
        <v>5203</v>
      </c>
    </row>
    <row r="5232" spans="18:18" ht="13.8">
      <c r="R5232" s="10">
        <v>5204</v>
      </c>
    </row>
    <row r="5233" spans="18:18" ht="13.8">
      <c r="R5233" s="10">
        <v>5205</v>
      </c>
    </row>
    <row r="5234" spans="18:18" ht="13.8">
      <c r="R5234" s="10">
        <v>5206</v>
      </c>
    </row>
    <row r="5235" spans="18:18" ht="13.8">
      <c r="R5235" s="10">
        <v>5207</v>
      </c>
    </row>
    <row r="5236" spans="18:18" ht="13.8">
      <c r="R5236" s="10">
        <v>5208</v>
      </c>
    </row>
    <row r="5237" spans="18:18" ht="13.8">
      <c r="R5237" s="10">
        <v>5209</v>
      </c>
    </row>
    <row r="5238" spans="18:18" ht="13.8">
      <c r="R5238" s="10">
        <v>5210</v>
      </c>
    </row>
    <row r="5239" spans="18:18" ht="13.8">
      <c r="R5239" s="10">
        <v>5211</v>
      </c>
    </row>
    <row r="5240" spans="18:18" ht="13.8">
      <c r="R5240" s="10">
        <v>5212</v>
      </c>
    </row>
    <row r="5241" spans="18:18" ht="13.8">
      <c r="R5241" s="10">
        <v>5213</v>
      </c>
    </row>
    <row r="5242" spans="18:18" ht="13.8">
      <c r="R5242" s="10">
        <v>5214</v>
      </c>
    </row>
    <row r="5243" spans="18:18" ht="13.8">
      <c r="R5243" s="10">
        <v>5215</v>
      </c>
    </row>
    <row r="5244" spans="18:18" ht="13.8">
      <c r="R5244" s="10">
        <v>5216</v>
      </c>
    </row>
    <row r="5245" spans="18:18" ht="13.8">
      <c r="R5245" s="10">
        <v>5217</v>
      </c>
    </row>
    <row r="5246" spans="18:18" ht="13.8">
      <c r="R5246" s="10">
        <v>5218</v>
      </c>
    </row>
    <row r="5247" spans="18:18" ht="13.8">
      <c r="R5247" s="10">
        <v>5219</v>
      </c>
    </row>
    <row r="5248" spans="18:18" ht="13.8">
      <c r="R5248" s="10">
        <v>5220</v>
      </c>
    </row>
    <row r="5249" spans="18:18" ht="13.8">
      <c r="R5249" s="10">
        <v>5221</v>
      </c>
    </row>
    <row r="5250" spans="18:18" ht="13.8">
      <c r="R5250" s="10">
        <v>5222</v>
      </c>
    </row>
    <row r="5251" spans="18:18" ht="13.8">
      <c r="R5251" s="10">
        <v>5223</v>
      </c>
    </row>
    <row r="5252" spans="18:18" ht="13.8">
      <c r="R5252" s="10">
        <v>5224</v>
      </c>
    </row>
    <row r="5253" spans="18:18" ht="13.8">
      <c r="R5253" s="10">
        <v>5225</v>
      </c>
    </row>
    <row r="5254" spans="18:18" ht="13.8">
      <c r="R5254" s="10">
        <v>5226</v>
      </c>
    </row>
    <row r="5255" spans="18:18" ht="13.8">
      <c r="R5255" s="10">
        <v>5227</v>
      </c>
    </row>
    <row r="5256" spans="18:18" ht="13.8">
      <c r="R5256" s="10">
        <v>5228</v>
      </c>
    </row>
    <row r="5257" spans="18:18" ht="13.8">
      <c r="R5257" s="10">
        <v>5229</v>
      </c>
    </row>
    <row r="5258" spans="18:18" ht="13.8">
      <c r="R5258" s="10">
        <v>5230</v>
      </c>
    </row>
    <row r="5259" spans="18:18" ht="13.8">
      <c r="R5259" s="10">
        <v>5231</v>
      </c>
    </row>
    <row r="5260" spans="18:18" ht="13.8">
      <c r="R5260" s="10">
        <v>5232</v>
      </c>
    </row>
    <row r="5261" spans="18:18" ht="13.8">
      <c r="R5261" s="10">
        <v>5233</v>
      </c>
    </row>
    <row r="5262" spans="18:18" ht="13.8">
      <c r="R5262" s="10">
        <v>5234</v>
      </c>
    </row>
    <row r="5263" spans="18:18" ht="13.8">
      <c r="R5263" s="10">
        <v>5235</v>
      </c>
    </row>
    <row r="5264" spans="18:18" ht="13.8">
      <c r="R5264" s="10">
        <v>5236</v>
      </c>
    </row>
    <row r="5265" spans="18:18" ht="13.8">
      <c r="R5265" s="10">
        <v>5237</v>
      </c>
    </row>
    <row r="5266" spans="18:18" ht="13.8">
      <c r="R5266" s="10">
        <v>5238</v>
      </c>
    </row>
    <row r="5267" spans="18:18" ht="13.8">
      <c r="R5267" s="10">
        <v>5239</v>
      </c>
    </row>
    <row r="5268" spans="18:18" ht="13.8">
      <c r="R5268" s="10">
        <v>5240</v>
      </c>
    </row>
    <row r="5269" spans="18:18" ht="13.8">
      <c r="R5269" s="10">
        <v>5241</v>
      </c>
    </row>
    <row r="5270" spans="18:18" ht="13.8">
      <c r="R5270" s="10">
        <v>5242</v>
      </c>
    </row>
    <row r="5271" spans="18:18" ht="13.8">
      <c r="R5271" s="10">
        <v>5243</v>
      </c>
    </row>
    <row r="5272" spans="18:18" ht="13.8">
      <c r="R5272" s="10">
        <v>5244</v>
      </c>
    </row>
    <row r="5273" spans="18:18" ht="13.8">
      <c r="R5273" s="10">
        <v>5245</v>
      </c>
    </row>
    <row r="5274" spans="18:18" ht="13.8">
      <c r="R5274" s="10">
        <v>5246</v>
      </c>
    </row>
    <row r="5275" spans="18:18" ht="13.8">
      <c r="R5275" s="10">
        <v>5247</v>
      </c>
    </row>
    <row r="5276" spans="18:18" ht="13.8">
      <c r="R5276" s="10">
        <v>5248</v>
      </c>
    </row>
    <row r="5277" spans="18:18" ht="13.8">
      <c r="R5277" s="10">
        <v>5249</v>
      </c>
    </row>
    <row r="5278" spans="18:18" ht="13.8">
      <c r="R5278" s="10">
        <v>5250</v>
      </c>
    </row>
    <row r="5279" spans="18:18" ht="13.8">
      <c r="R5279" s="10">
        <v>5251</v>
      </c>
    </row>
    <row r="5280" spans="18:18" ht="13.8">
      <c r="R5280" s="10">
        <v>5252</v>
      </c>
    </row>
    <row r="5281" spans="18:18" ht="13.8">
      <c r="R5281" s="10">
        <v>5253</v>
      </c>
    </row>
    <row r="5282" spans="18:18" ht="13.8">
      <c r="R5282" s="10">
        <v>5254</v>
      </c>
    </row>
    <row r="5283" spans="18:18" ht="13.8">
      <c r="R5283" s="10">
        <v>5255</v>
      </c>
    </row>
    <row r="5284" spans="18:18" ht="13.8">
      <c r="R5284" s="10">
        <v>5256</v>
      </c>
    </row>
    <row r="5285" spans="18:18" ht="13.8">
      <c r="R5285" s="10">
        <v>5257</v>
      </c>
    </row>
    <row r="5286" spans="18:18" ht="13.8">
      <c r="R5286" s="10">
        <v>5258</v>
      </c>
    </row>
    <row r="5287" spans="18:18" ht="13.8">
      <c r="R5287" s="10">
        <v>5259</v>
      </c>
    </row>
    <row r="5288" spans="18:18" ht="13.8">
      <c r="R5288" s="10">
        <v>5260</v>
      </c>
    </row>
    <row r="5289" spans="18:18" ht="13.8">
      <c r="R5289" s="10">
        <v>5261</v>
      </c>
    </row>
    <row r="5290" spans="18:18" ht="13.8">
      <c r="R5290" s="10">
        <v>5262</v>
      </c>
    </row>
    <row r="5291" spans="18:18" ht="13.8">
      <c r="R5291" s="10">
        <v>5263</v>
      </c>
    </row>
    <row r="5292" spans="18:18" ht="13.8">
      <c r="R5292" s="10">
        <v>5264</v>
      </c>
    </row>
    <row r="5293" spans="18:18" ht="13.8">
      <c r="R5293" s="10">
        <v>5265</v>
      </c>
    </row>
    <row r="5294" spans="18:18" ht="13.8">
      <c r="R5294" s="10">
        <v>5266</v>
      </c>
    </row>
    <row r="5295" spans="18:18" ht="13.8">
      <c r="R5295" s="10">
        <v>5267</v>
      </c>
    </row>
    <row r="5296" spans="18:18" ht="13.8">
      <c r="R5296" s="10">
        <v>5268</v>
      </c>
    </row>
    <row r="5297" spans="18:18" ht="13.8">
      <c r="R5297" s="10">
        <v>5269</v>
      </c>
    </row>
    <row r="5298" spans="18:18" ht="13.8">
      <c r="R5298" s="10">
        <v>5270</v>
      </c>
    </row>
    <row r="5299" spans="18:18" ht="13.8">
      <c r="R5299" s="10">
        <v>5271</v>
      </c>
    </row>
    <row r="5300" spans="18:18" ht="13.8">
      <c r="R5300" s="10">
        <v>5272</v>
      </c>
    </row>
    <row r="5301" spans="18:18" ht="13.8">
      <c r="R5301" s="10">
        <v>5273</v>
      </c>
    </row>
    <row r="5302" spans="18:18" ht="13.8">
      <c r="R5302" s="10">
        <v>5274</v>
      </c>
    </row>
    <row r="5303" spans="18:18" ht="13.8">
      <c r="R5303" s="10">
        <v>5275</v>
      </c>
    </row>
    <row r="5304" spans="18:18" ht="13.8">
      <c r="R5304" s="10">
        <v>5276</v>
      </c>
    </row>
    <row r="5305" spans="18:18" ht="13.8">
      <c r="R5305" s="10">
        <v>5277</v>
      </c>
    </row>
    <row r="5306" spans="18:18" ht="13.8">
      <c r="R5306" s="10">
        <v>5278</v>
      </c>
    </row>
    <row r="5307" spans="18:18" ht="13.8">
      <c r="R5307" s="10">
        <v>5279</v>
      </c>
    </row>
    <row r="5308" spans="18:18" ht="13.8">
      <c r="R5308" s="10">
        <v>5280</v>
      </c>
    </row>
    <row r="5309" spans="18:18" ht="13.8">
      <c r="R5309" s="10">
        <v>5281</v>
      </c>
    </row>
    <row r="5310" spans="18:18" ht="13.8">
      <c r="R5310" s="10">
        <v>5282</v>
      </c>
    </row>
    <row r="5311" spans="18:18" ht="13.8">
      <c r="R5311" s="10">
        <v>5283</v>
      </c>
    </row>
    <row r="5312" spans="18:18" ht="13.8">
      <c r="R5312" s="10">
        <v>5284</v>
      </c>
    </row>
    <row r="5313" spans="18:18" ht="13.8">
      <c r="R5313" s="10">
        <v>5285</v>
      </c>
    </row>
    <row r="5314" spans="18:18" ht="13.8">
      <c r="R5314" s="10">
        <v>5286</v>
      </c>
    </row>
    <row r="5315" spans="18:18" ht="13.8">
      <c r="R5315" s="10">
        <v>5287</v>
      </c>
    </row>
    <row r="5316" spans="18:18" ht="13.8">
      <c r="R5316" s="10">
        <v>5288</v>
      </c>
    </row>
    <row r="5317" spans="18:18" ht="13.8">
      <c r="R5317" s="10">
        <v>5289</v>
      </c>
    </row>
    <row r="5318" spans="18:18" ht="13.8">
      <c r="R5318" s="10">
        <v>5290</v>
      </c>
    </row>
    <row r="5319" spans="18:18" ht="13.8">
      <c r="R5319" s="10">
        <v>5291</v>
      </c>
    </row>
    <row r="5320" spans="18:18" ht="13.8">
      <c r="R5320" s="10">
        <v>5292</v>
      </c>
    </row>
    <row r="5321" spans="18:18" ht="13.8">
      <c r="R5321" s="10">
        <v>5293</v>
      </c>
    </row>
    <row r="5322" spans="18:18" ht="13.8">
      <c r="R5322" s="10">
        <v>5294</v>
      </c>
    </row>
    <row r="5323" spans="18:18" ht="13.8">
      <c r="R5323" s="10">
        <v>5295</v>
      </c>
    </row>
    <row r="5324" spans="18:18" ht="13.8">
      <c r="R5324" s="10">
        <v>5296</v>
      </c>
    </row>
    <row r="5325" spans="18:18" ht="13.8">
      <c r="R5325" s="10">
        <v>5297</v>
      </c>
    </row>
    <row r="5326" spans="18:18" ht="13.8">
      <c r="R5326" s="10">
        <v>5298</v>
      </c>
    </row>
    <row r="5327" spans="18:18" ht="13.8">
      <c r="R5327" s="10">
        <v>5299</v>
      </c>
    </row>
    <row r="5328" spans="18:18" ht="13.8">
      <c r="R5328" s="10">
        <v>5300</v>
      </c>
    </row>
    <row r="5329" spans="18:18" ht="13.8">
      <c r="R5329" s="10">
        <v>5301</v>
      </c>
    </row>
    <row r="5330" spans="18:18" ht="13.8">
      <c r="R5330" s="10">
        <v>5302</v>
      </c>
    </row>
    <row r="5331" spans="18:18" ht="13.8">
      <c r="R5331" s="10">
        <v>5303</v>
      </c>
    </row>
    <row r="5332" spans="18:18" ht="13.8">
      <c r="R5332" s="10">
        <v>5304</v>
      </c>
    </row>
    <row r="5333" spans="18:18" ht="13.8">
      <c r="R5333" s="10">
        <v>5305</v>
      </c>
    </row>
    <row r="5334" spans="18:18" ht="13.8">
      <c r="R5334" s="10">
        <v>5306</v>
      </c>
    </row>
    <row r="5335" spans="18:18" ht="13.8">
      <c r="R5335" s="10">
        <v>5307</v>
      </c>
    </row>
    <row r="5336" spans="18:18" ht="13.8">
      <c r="R5336" s="10">
        <v>5308</v>
      </c>
    </row>
    <row r="5337" spans="18:18" ht="13.8">
      <c r="R5337" s="10">
        <v>5309</v>
      </c>
    </row>
    <row r="5338" spans="18:18" ht="13.8">
      <c r="R5338" s="10">
        <v>5310</v>
      </c>
    </row>
    <row r="5339" spans="18:18" ht="13.8">
      <c r="R5339" s="10">
        <v>5311</v>
      </c>
    </row>
    <row r="5340" spans="18:18" ht="13.8">
      <c r="R5340" s="10">
        <v>5312</v>
      </c>
    </row>
    <row r="5341" spans="18:18" ht="13.8">
      <c r="R5341" s="10">
        <v>5313</v>
      </c>
    </row>
    <row r="5342" spans="18:18" ht="13.8">
      <c r="R5342" s="10">
        <v>5314</v>
      </c>
    </row>
    <row r="5343" spans="18:18" ht="13.8">
      <c r="R5343" s="10">
        <v>5315</v>
      </c>
    </row>
    <row r="5344" spans="18:18" ht="13.8">
      <c r="R5344" s="10">
        <v>5316</v>
      </c>
    </row>
    <row r="5345" spans="18:18" ht="13.8">
      <c r="R5345" s="10">
        <v>5317</v>
      </c>
    </row>
    <row r="5346" spans="18:18" ht="13.8">
      <c r="R5346" s="10">
        <v>5318</v>
      </c>
    </row>
    <row r="5347" spans="18:18" ht="13.8">
      <c r="R5347" s="10">
        <v>5319</v>
      </c>
    </row>
    <row r="5348" spans="18:18" ht="13.8">
      <c r="R5348" s="10">
        <v>5320</v>
      </c>
    </row>
    <row r="5349" spans="18:18" ht="13.8">
      <c r="R5349" s="10">
        <v>5321</v>
      </c>
    </row>
    <row r="5350" spans="18:18" ht="13.8">
      <c r="R5350" s="10">
        <v>5322</v>
      </c>
    </row>
    <row r="5351" spans="18:18" ht="13.8">
      <c r="R5351" s="10">
        <v>5323</v>
      </c>
    </row>
    <row r="5352" spans="18:18" ht="13.8">
      <c r="R5352" s="10">
        <v>5324</v>
      </c>
    </row>
    <row r="5353" spans="18:18" ht="13.8">
      <c r="R5353" s="10">
        <v>5325</v>
      </c>
    </row>
    <row r="5354" spans="18:18" ht="13.8">
      <c r="R5354" s="10">
        <v>5326</v>
      </c>
    </row>
    <row r="5355" spans="18:18" ht="13.8">
      <c r="R5355" s="10">
        <v>5327</v>
      </c>
    </row>
    <row r="5356" spans="18:18" ht="13.8">
      <c r="R5356" s="10">
        <v>5328</v>
      </c>
    </row>
    <row r="5357" spans="18:18" ht="13.8">
      <c r="R5357" s="10">
        <v>5329</v>
      </c>
    </row>
    <row r="5358" spans="18:18" ht="13.8">
      <c r="R5358" s="10">
        <v>5330</v>
      </c>
    </row>
    <row r="5359" spans="18:18" ht="13.8">
      <c r="R5359" s="10">
        <v>5331</v>
      </c>
    </row>
    <row r="5360" spans="18:18" ht="13.8">
      <c r="R5360" s="10">
        <v>5332</v>
      </c>
    </row>
    <row r="5361" spans="18:18" ht="13.8">
      <c r="R5361" s="10">
        <v>5333</v>
      </c>
    </row>
    <row r="5362" spans="18:18" ht="13.8">
      <c r="R5362" s="10">
        <v>5334</v>
      </c>
    </row>
    <row r="5363" spans="18:18" ht="13.8">
      <c r="R5363" s="10">
        <v>5335</v>
      </c>
    </row>
    <row r="5364" spans="18:18" ht="13.8">
      <c r="R5364" s="10">
        <v>5336</v>
      </c>
    </row>
    <row r="5365" spans="18:18" ht="13.8">
      <c r="R5365" s="10">
        <v>5337</v>
      </c>
    </row>
    <row r="5366" spans="18:18" ht="13.8">
      <c r="R5366" s="10">
        <v>5338</v>
      </c>
    </row>
    <row r="5367" spans="18:18" ht="13.8">
      <c r="R5367" s="10">
        <v>5339</v>
      </c>
    </row>
    <row r="5368" spans="18:18" ht="13.8">
      <c r="R5368" s="10">
        <v>5340</v>
      </c>
    </row>
    <row r="5369" spans="18:18" ht="13.8">
      <c r="R5369" s="10">
        <v>5341</v>
      </c>
    </row>
    <row r="5370" spans="18:18" ht="13.8">
      <c r="R5370" s="10">
        <v>5342</v>
      </c>
    </row>
    <row r="5371" spans="18:18" ht="13.8">
      <c r="R5371" s="10">
        <v>5343</v>
      </c>
    </row>
    <row r="5372" spans="18:18" ht="13.8">
      <c r="R5372" s="10">
        <v>5344</v>
      </c>
    </row>
    <row r="5373" spans="18:18" ht="13.8">
      <c r="R5373" s="10">
        <v>5345</v>
      </c>
    </row>
    <row r="5374" spans="18:18" ht="13.8">
      <c r="R5374" s="10">
        <v>5346</v>
      </c>
    </row>
    <row r="5375" spans="18:18" ht="13.8">
      <c r="R5375" s="10">
        <v>5347</v>
      </c>
    </row>
    <row r="5376" spans="18:18" ht="13.8">
      <c r="R5376" s="10">
        <v>5348</v>
      </c>
    </row>
    <row r="5377" spans="18:18" ht="13.8">
      <c r="R5377" s="10">
        <v>5349</v>
      </c>
    </row>
    <row r="5378" spans="18:18" ht="13.8">
      <c r="R5378" s="10">
        <v>5350</v>
      </c>
    </row>
    <row r="5379" spans="18:18" ht="13.8">
      <c r="R5379" s="10">
        <v>5351</v>
      </c>
    </row>
    <row r="5380" spans="18:18" ht="13.8">
      <c r="R5380" s="10">
        <v>5352</v>
      </c>
    </row>
    <row r="5381" spans="18:18" ht="13.8">
      <c r="R5381" s="10">
        <v>5353</v>
      </c>
    </row>
    <row r="5382" spans="18:18" ht="13.8">
      <c r="R5382" s="10">
        <v>5354</v>
      </c>
    </row>
    <row r="5383" spans="18:18" ht="13.8">
      <c r="R5383" s="10">
        <v>5355</v>
      </c>
    </row>
    <row r="5384" spans="18:18" ht="13.8">
      <c r="R5384" s="10">
        <v>5356</v>
      </c>
    </row>
    <row r="5385" spans="18:18" ht="13.8">
      <c r="R5385" s="10">
        <v>5357</v>
      </c>
    </row>
    <row r="5386" spans="18:18" ht="13.8">
      <c r="R5386" s="10">
        <v>5358</v>
      </c>
    </row>
    <row r="5387" spans="18:18" ht="13.8">
      <c r="R5387" s="10">
        <v>5359</v>
      </c>
    </row>
    <row r="5388" spans="18:18" ht="13.8">
      <c r="R5388" s="10">
        <v>5360</v>
      </c>
    </row>
    <row r="5389" spans="18:18" ht="13.8">
      <c r="R5389" s="10">
        <v>5361</v>
      </c>
    </row>
    <row r="5390" spans="18:18" ht="13.8">
      <c r="R5390" s="10">
        <v>5362</v>
      </c>
    </row>
    <row r="5391" spans="18:18" ht="13.8">
      <c r="R5391" s="10">
        <v>5363</v>
      </c>
    </row>
    <row r="5392" spans="18:18" ht="13.8">
      <c r="R5392" s="10">
        <v>5364</v>
      </c>
    </row>
    <row r="5393" spans="18:18" ht="13.8">
      <c r="R5393" s="10">
        <v>5365</v>
      </c>
    </row>
    <row r="5394" spans="18:18" ht="13.8">
      <c r="R5394" s="10">
        <v>5366</v>
      </c>
    </row>
    <row r="5395" spans="18:18" ht="13.8">
      <c r="R5395" s="10">
        <v>5367</v>
      </c>
    </row>
    <row r="5396" spans="18:18" ht="13.8">
      <c r="R5396" s="10">
        <v>5368</v>
      </c>
    </row>
    <row r="5397" spans="18:18" ht="13.8">
      <c r="R5397" s="10">
        <v>5369</v>
      </c>
    </row>
    <row r="5398" spans="18:18" ht="13.8">
      <c r="R5398" s="10">
        <v>5370</v>
      </c>
    </row>
    <row r="5399" spans="18:18" ht="13.8">
      <c r="R5399" s="10">
        <v>5371</v>
      </c>
    </row>
    <row r="5400" spans="18:18" ht="13.8">
      <c r="R5400" s="10">
        <v>5372</v>
      </c>
    </row>
    <row r="5401" spans="18:18" ht="13.8">
      <c r="R5401" s="10">
        <v>5373</v>
      </c>
    </row>
    <row r="5402" spans="18:18" ht="13.8">
      <c r="R5402" s="10">
        <v>5374</v>
      </c>
    </row>
    <row r="5403" spans="18:18" ht="13.8">
      <c r="R5403" s="10">
        <v>5375</v>
      </c>
    </row>
    <row r="5404" spans="18:18" ht="13.8">
      <c r="R5404" s="10">
        <v>5376</v>
      </c>
    </row>
    <row r="5405" spans="18:18" ht="13.8">
      <c r="R5405" s="10">
        <v>5377</v>
      </c>
    </row>
    <row r="5406" spans="18:18" ht="13.8">
      <c r="R5406" s="10">
        <v>5378</v>
      </c>
    </row>
    <row r="5407" spans="18:18" ht="13.8">
      <c r="R5407" s="10">
        <v>5379</v>
      </c>
    </row>
    <row r="5408" spans="18:18" ht="13.8">
      <c r="R5408" s="10">
        <v>5380</v>
      </c>
    </row>
    <row r="5409" spans="18:18" ht="13.8">
      <c r="R5409" s="10">
        <v>5381</v>
      </c>
    </row>
    <row r="5410" spans="18:18" ht="13.8">
      <c r="R5410" s="10">
        <v>5382</v>
      </c>
    </row>
    <row r="5411" spans="18:18" ht="13.8">
      <c r="R5411" s="10">
        <v>5383</v>
      </c>
    </row>
    <row r="5412" spans="18:18" ht="13.8">
      <c r="R5412" s="10">
        <v>5384</v>
      </c>
    </row>
    <row r="5413" spans="18:18" ht="13.8">
      <c r="R5413" s="10">
        <v>5385</v>
      </c>
    </row>
    <row r="5414" spans="18:18" ht="13.8">
      <c r="R5414" s="10">
        <v>5386</v>
      </c>
    </row>
    <row r="5415" spans="18:18" ht="13.8">
      <c r="R5415" s="10">
        <v>5387</v>
      </c>
    </row>
    <row r="5416" spans="18:18" ht="13.8">
      <c r="R5416" s="10">
        <v>5388</v>
      </c>
    </row>
    <row r="5417" spans="18:18" ht="13.8">
      <c r="R5417" s="10">
        <v>5389</v>
      </c>
    </row>
    <row r="5418" spans="18:18" ht="13.8">
      <c r="R5418" s="10">
        <v>5390</v>
      </c>
    </row>
    <row r="5419" spans="18:18" ht="13.8">
      <c r="R5419" s="10">
        <v>5391</v>
      </c>
    </row>
    <row r="5420" spans="18:18" ht="13.8">
      <c r="R5420" s="10">
        <v>5392</v>
      </c>
    </row>
    <row r="5421" spans="18:18" ht="13.8">
      <c r="R5421" s="10">
        <v>5393</v>
      </c>
    </row>
    <row r="5422" spans="18:18" ht="13.8">
      <c r="R5422" s="10">
        <v>5394</v>
      </c>
    </row>
    <row r="5423" spans="18:18" ht="13.8">
      <c r="R5423" s="10">
        <v>5395</v>
      </c>
    </row>
    <row r="5424" spans="18:18" ht="13.8">
      <c r="R5424" s="10">
        <v>5396</v>
      </c>
    </row>
    <row r="5425" spans="18:18" ht="13.8">
      <c r="R5425" s="10">
        <v>5397</v>
      </c>
    </row>
    <row r="5426" spans="18:18" ht="13.8">
      <c r="R5426" s="10">
        <v>5398</v>
      </c>
    </row>
    <row r="5427" spans="18:18" ht="13.8">
      <c r="R5427" s="10">
        <v>5399</v>
      </c>
    </row>
    <row r="5428" spans="18:18" ht="13.8">
      <c r="R5428" s="10">
        <v>5400</v>
      </c>
    </row>
    <row r="5429" spans="18:18" ht="13.8">
      <c r="R5429" s="10">
        <v>5401</v>
      </c>
    </row>
    <row r="5430" spans="18:18" ht="13.8">
      <c r="R5430" s="10">
        <v>5402</v>
      </c>
    </row>
    <row r="5431" spans="18:18" ht="13.8">
      <c r="R5431" s="10">
        <v>5403</v>
      </c>
    </row>
    <row r="5432" spans="18:18" ht="13.8">
      <c r="R5432" s="10">
        <v>5404</v>
      </c>
    </row>
    <row r="5433" spans="18:18" ht="13.8">
      <c r="R5433" s="10">
        <v>5405</v>
      </c>
    </row>
    <row r="5434" spans="18:18" ht="13.8">
      <c r="R5434" s="10">
        <v>5406</v>
      </c>
    </row>
    <row r="5435" spans="18:18" ht="13.8">
      <c r="R5435" s="10">
        <v>5407</v>
      </c>
    </row>
    <row r="5436" spans="18:18" ht="13.8">
      <c r="R5436" s="10">
        <v>5408</v>
      </c>
    </row>
    <row r="5437" spans="18:18" ht="13.8">
      <c r="R5437" s="10">
        <v>5409</v>
      </c>
    </row>
    <row r="5438" spans="18:18" ht="13.8">
      <c r="R5438" s="10">
        <v>5410</v>
      </c>
    </row>
    <row r="5439" spans="18:18" ht="13.8">
      <c r="R5439" s="10">
        <v>5411</v>
      </c>
    </row>
    <row r="5440" spans="18:18" ht="13.8">
      <c r="R5440" s="10">
        <v>5412</v>
      </c>
    </row>
    <row r="5441" spans="18:18" ht="13.8">
      <c r="R5441" s="10">
        <v>5413</v>
      </c>
    </row>
    <row r="5442" spans="18:18" ht="13.8">
      <c r="R5442" s="10">
        <v>5414</v>
      </c>
    </row>
    <row r="5443" spans="18:18" ht="13.8">
      <c r="R5443" s="10">
        <v>5415</v>
      </c>
    </row>
    <row r="5444" spans="18:18" ht="13.8">
      <c r="R5444" s="10">
        <v>5416</v>
      </c>
    </row>
    <row r="5445" spans="18:18" ht="13.8">
      <c r="R5445" s="10">
        <v>5417</v>
      </c>
    </row>
    <row r="5446" spans="18:18" ht="13.8">
      <c r="R5446" s="10">
        <v>5418</v>
      </c>
    </row>
    <row r="5447" spans="18:18" ht="13.8">
      <c r="R5447" s="10">
        <v>5419</v>
      </c>
    </row>
    <row r="5448" spans="18:18" ht="13.8">
      <c r="R5448" s="10">
        <v>5420</v>
      </c>
    </row>
    <row r="5449" spans="18:18" ht="13.8">
      <c r="R5449" s="10">
        <v>5421</v>
      </c>
    </row>
    <row r="5450" spans="18:18" ht="13.8">
      <c r="R5450" s="10">
        <v>5422</v>
      </c>
    </row>
    <row r="5451" spans="18:18" ht="13.8">
      <c r="R5451" s="10">
        <v>5423</v>
      </c>
    </row>
    <row r="5452" spans="18:18" ht="13.8">
      <c r="R5452" s="10">
        <v>5424</v>
      </c>
    </row>
    <row r="5453" spans="18:18" ht="13.8">
      <c r="R5453" s="10">
        <v>5425</v>
      </c>
    </row>
    <row r="5454" spans="18:18" ht="13.8">
      <c r="R5454" s="10">
        <v>5426</v>
      </c>
    </row>
    <row r="5455" spans="18:18" ht="13.8">
      <c r="R5455" s="10">
        <v>5427</v>
      </c>
    </row>
    <row r="5456" spans="18:18" ht="13.8">
      <c r="R5456" s="10">
        <v>5428</v>
      </c>
    </row>
    <row r="5457" spans="18:18" ht="13.8">
      <c r="R5457" s="10">
        <v>5429</v>
      </c>
    </row>
    <row r="5458" spans="18:18" ht="13.8">
      <c r="R5458" s="10">
        <v>5430</v>
      </c>
    </row>
    <row r="5459" spans="18:18" ht="13.8">
      <c r="R5459" s="10">
        <v>5431</v>
      </c>
    </row>
    <row r="5460" spans="18:18" ht="13.8">
      <c r="R5460" s="10">
        <v>5432</v>
      </c>
    </row>
    <row r="5461" spans="18:18" ht="13.8">
      <c r="R5461" s="10">
        <v>5433</v>
      </c>
    </row>
    <row r="5462" spans="18:18" ht="13.8">
      <c r="R5462" s="10">
        <v>5434</v>
      </c>
    </row>
    <row r="5463" spans="18:18" ht="13.8">
      <c r="R5463" s="10">
        <v>5435</v>
      </c>
    </row>
    <row r="5464" spans="18:18" ht="13.8">
      <c r="R5464" s="10">
        <v>5436</v>
      </c>
    </row>
    <row r="5465" spans="18:18" ht="13.8">
      <c r="R5465" s="10">
        <v>5437</v>
      </c>
    </row>
    <row r="5466" spans="18:18" ht="13.8">
      <c r="R5466" s="10">
        <v>5438</v>
      </c>
    </row>
    <row r="5467" spans="18:18" ht="13.8">
      <c r="R5467" s="10">
        <v>5439</v>
      </c>
    </row>
    <row r="5468" spans="18:18" ht="13.8">
      <c r="R5468" s="10">
        <v>5440</v>
      </c>
    </row>
    <row r="5469" spans="18:18" ht="13.8">
      <c r="R5469" s="10">
        <v>5441</v>
      </c>
    </row>
    <row r="5470" spans="18:18" ht="13.8">
      <c r="R5470" s="10">
        <v>5442</v>
      </c>
    </row>
    <row r="5471" spans="18:18" ht="13.8">
      <c r="R5471" s="10">
        <v>5443</v>
      </c>
    </row>
    <row r="5472" spans="18:18" ht="13.8">
      <c r="R5472" s="10">
        <v>5444</v>
      </c>
    </row>
    <row r="5473" spans="18:18" ht="13.8">
      <c r="R5473" s="10">
        <v>5445</v>
      </c>
    </row>
    <row r="5474" spans="18:18" ht="13.8">
      <c r="R5474" s="10">
        <v>5446</v>
      </c>
    </row>
    <row r="5475" spans="18:18" ht="13.8">
      <c r="R5475" s="10">
        <v>5447</v>
      </c>
    </row>
    <row r="5476" spans="18:18" ht="13.8">
      <c r="R5476" s="10">
        <v>5448</v>
      </c>
    </row>
    <row r="5477" spans="18:18" ht="13.8">
      <c r="R5477" s="10">
        <v>5449</v>
      </c>
    </row>
    <row r="5478" spans="18:18" ht="13.8">
      <c r="R5478" s="10">
        <v>5450</v>
      </c>
    </row>
    <row r="5479" spans="18:18" ht="13.8">
      <c r="R5479" s="10">
        <v>5451</v>
      </c>
    </row>
    <row r="5480" spans="18:18" ht="13.8">
      <c r="R5480" s="10">
        <v>5452</v>
      </c>
    </row>
    <row r="5481" spans="18:18" ht="13.8">
      <c r="R5481" s="10">
        <v>5453</v>
      </c>
    </row>
    <row r="5482" spans="18:18" ht="13.8">
      <c r="R5482" s="10">
        <v>5454</v>
      </c>
    </row>
    <row r="5483" spans="18:18" ht="13.8">
      <c r="R5483" s="10">
        <v>5455</v>
      </c>
    </row>
    <row r="5484" spans="18:18" ht="13.8">
      <c r="R5484" s="10">
        <v>5456</v>
      </c>
    </row>
    <row r="5485" spans="18:18" ht="13.8">
      <c r="R5485" s="10">
        <v>5457</v>
      </c>
    </row>
    <row r="5486" spans="18:18" ht="13.8">
      <c r="R5486" s="10">
        <v>5458</v>
      </c>
    </row>
    <row r="5487" spans="18:18" ht="13.8">
      <c r="R5487" s="10">
        <v>5459</v>
      </c>
    </row>
    <row r="5488" spans="18:18" ht="13.8">
      <c r="R5488" s="10">
        <v>5460</v>
      </c>
    </row>
    <row r="5489" spans="18:18" ht="13.8">
      <c r="R5489" s="10">
        <v>5461</v>
      </c>
    </row>
    <row r="5490" spans="18:18" ht="13.8">
      <c r="R5490" s="10">
        <v>5462</v>
      </c>
    </row>
    <row r="5491" spans="18:18" ht="13.8">
      <c r="R5491" s="10">
        <v>5463</v>
      </c>
    </row>
    <row r="5492" spans="18:18" ht="13.8">
      <c r="R5492" s="10">
        <v>5464</v>
      </c>
    </row>
    <row r="5493" spans="18:18" ht="13.8">
      <c r="R5493" s="10">
        <v>5465</v>
      </c>
    </row>
    <row r="5494" spans="18:18" ht="13.8">
      <c r="R5494" s="10">
        <v>5466</v>
      </c>
    </row>
    <row r="5495" spans="18:18" ht="13.8">
      <c r="R5495" s="10">
        <v>5467</v>
      </c>
    </row>
    <row r="5496" spans="18:18" ht="13.8">
      <c r="R5496" s="10">
        <v>5468</v>
      </c>
    </row>
    <row r="5497" spans="18:18" ht="13.8">
      <c r="R5497" s="10">
        <v>5469</v>
      </c>
    </row>
    <row r="5498" spans="18:18" ht="13.8">
      <c r="R5498" s="10">
        <v>5470</v>
      </c>
    </row>
    <row r="5499" spans="18:18" ht="13.8">
      <c r="R5499" s="10">
        <v>5471</v>
      </c>
    </row>
    <row r="5500" spans="18:18" ht="13.8">
      <c r="R5500" s="10">
        <v>5472</v>
      </c>
    </row>
    <row r="5501" spans="18:18" ht="13.8">
      <c r="R5501" s="10">
        <v>5473</v>
      </c>
    </row>
    <row r="5502" spans="18:18" ht="13.8">
      <c r="R5502" s="10">
        <v>5474</v>
      </c>
    </row>
    <row r="5503" spans="18:18" ht="13.8">
      <c r="R5503" s="10">
        <v>5475</v>
      </c>
    </row>
    <row r="5504" spans="18:18" ht="13.8">
      <c r="R5504" s="10">
        <v>5476</v>
      </c>
    </row>
    <row r="5505" spans="18:18" ht="13.8">
      <c r="R5505" s="10">
        <v>5477</v>
      </c>
    </row>
    <row r="5506" spans="18:18" ht="13.8">
      <c r="R5506" s="10">
        <v>5478</v>
      </c>
    </row>
    <row r="5507" spans="18:18" ht="13.8">
      <c r="R5507" s="10">
        <v>5479</v>
      </c>
    </row>
    <row r="5508" spans="18:18" ht="13.8">
      <c r="R5508" s="10">
        <v>5480</v>
      </c>
    </row>
    <row r="5509" spans="18:18" ht="13.8">
      <c r="R5509" s="10">
        <v>5481</v>
      </c>
    </row>
    <row r="5510" spans="18:18" ht="13.8">
      <c r="R5510" s="10">
        <v>5482</v>
      </c>
    </row>
    <row r="5511" spans="18:18" ht="13.8">
      <c r="R5511" s="10">
        <v>5483</v>
      </c>
    </row>
    <row r="5512" spans="18:18" ht="13.8">
      <c r="R5512" s="10">
        <v>5484</v>
      </c>
    </row>
    <row r="5513" spans="18:18" ht="13.8">
      <c r="R5513" s="10">
        <v>5485</v>
      </c>
    </row>
    <row r="5514" spans="18:18" ht="13.8">
      <c r="R5514" s="10">
        <v>5486</v>
      </c>
    </row>
    <row r="5515" spans="18:18" ht="13.8">
      <c r="R5515" s="10">
        <v>5487</v>
      </c>
    </row>
    <row r="5516" spans="18:18" ht="13.8">
      <c r="R5516" s="10">
        <v>5488</v>
      </c>
    </row>
    <row r="5517" spans="18:18" ht="13.8">
      <c r="R5517" s="10">
        <v>5489</v>
      </c>
    </row>
    <row r="5518" spans="18:18" ht="13.8">
      <c r="R5518" s="10">
        <v>5490</v>
      </c>
    </row>
    <row r="5519" spans="18:18" ht="13.8">
      <c r="R5519" s="10">
        <v>5491</v>
      </c>
    </row>
    <row r="5520" spans="18:18" ht="13.8">
      <c r="R5520" s="10">
        <v>5492</v>
      </c>
    </row>
    <row r="5521" spans="18:18" ht="13.8">
      <c r="R5521" s="10">
        <v>5493</v>
      </c>
    </row>
    <row r="5522" spans="18:18" ht="13.8">
      <c r="R5522" s="10">
        <v>5494</v>
      </c>
    </row>
    <row r="5523" spans="18:18" ht="13.8">
      <c r="R5523" s="10">
        <v>5495</v>
      </c>
    </row>
    <row r="5524" spans="18:18" ht="13.8">
      <c r="R5524" s="10">
        <v>5496</v>
      </c>
    </row>
    <row r="5525" spans="18:18" ht="13.8">
      <c r="R5525" s="10">
        <v>5497</v>
      </c>
    </row>
    <row r="5526" spans="18:18" ht="13.8">
      <c r="R5526" s="10">
        <v>5498</v>
      </c>
    </row>
    <row r="5527" spans="18:18" ht="13.8">
      <c r="R5527" s="10">
        <v>5499</v>
      </c>
    </row>
    <row r="5528" spans="18:18" ht="13.8">
      <c r="R5528" s="10">
        <v>5500</v>
      </c>
    </row>
    <row r="5529" spans="18:18" ht="13.8">
      <c r="R5529" s="10">
        <v>5501</v>
      </c>
    </row>
    <row r="5530" spans="18:18" ht="13.8">
      <c r="R5530" s="10">
        <v>5502</v>
      </c>
    </row>
    <row r="5531" spans="18:18" ht="13.8">
      <c r="R5531" s="10">
        <v>5503</v>
      </c>
    </row>
    <row r="5532" spans="18:18" ht="13.8">
      <c r="R5532" s="10">
        <v>5504</v>
      </c>
    </row>
    <row r="5533" spans="18:18" ht="13.8">
      <c r="R5533" s="10">
        <v>5505</v>
      </c>
    </row>
    <row r="5534" spans="18:18" ht="13.8">
      <c r="R5534" s="10">
        <v>5506</v>
      </c>
    </row>
    <row r="5535" spans="18:18" ht="13.8">
      <c r="R5535" s="10">
        <v>5507</v>
      </c>
    </row>
    <row r="5536" spans="18:18" ht="13.8">
      <c r="R5536" s="10">
        <v>5508</v>
      </c>
    </row>
    <row r="5537" spans="18:18" ht="13.8">
      <c r="R5537" s="10">
        <v>5509</v>
      </c>
    </row>
    <row r="5538" spans="18:18" ht="13.8">
      <c r="R5538" s="10">
        <v>5510</v>
      </c>
    </row>
    <row r="5539" spans="18:18" ht="13.8">
      <c r="R5539" s="10">
        <v>5511</v>
      </c>
    </row>
    <row r="5540" spans="18:18" ht="13.8">
      <c r="R5540" s="10">
        <v>5512</v>
      </c>
    </row>
    <row r="5541" spans="18:18" ht="13.8">
      <c r="R5541" s="10">
        <v>5513</v>
      </c>
    </row>
    <row r="5542" spans="18:18" ht="13.8">
      <c r="R5542" s="10">
        <v>5514</v>
      </c>
    </row>
    <row r="5543" spans="18:18" ht="13.8">
      <c r="R5543" s="10">
        <v>5515</v>
      </c>
    </row>
    <row r="5544" spans="18:18" ht="13.8">
      <c r="R5544" s="10">
        <v>5516</v>
      </c>
    </row>
    <row r="5545" spans="18:18" ht="13.8">
      <c r="R5545" s="10">
        <v>5517</v>
      </c>
    </row>
    <row r="5546" spans="18:18" ht="13.8">
      <c r="R5546" s="10">
        <v>5518</v>
      </c>
    </row>
    <row r="5547" spans="18:18" ht="13.8">
      <c r="R5547" s="10">
        <v>5519</v>
      </c>
    </row>
    <row r="5548" spans="18:18" ht="13.8">
      <c r="R5548" s="10">
        <v>5520</v>
      </c>
    </row>
    <row r="5549" spans="18:18" ht="13.8">
      <c r="R5549" s="10">
        <v>5521</v>
      </c>
    </row>
    <row r="5550" spans="18:18" ht="13.8">
      <c r="R5550" s="10">
        <v>5522</v>
      </c>
    </row>
    <row r="5551" spans="18:18" ht="13.8">
      <c r="R5551" s="10">
        <v>5523</v>
      </c>
    </row>
    <row r="5552" spans="18:18" ht="13.8">
      <c r="R5552" s="10">
        <v>5524</v>
      </c>
    </row>
    <row r="5553" spans="18:18" ht="13.8">
      <c r="R5553" s="10">
        <v>5525</v>
      </c>
    </row>
    <row r="5554" spans="18:18" ht="13.8">
      <c r="R5554" s="10">
        <v>5526</v>
      </c>
    </row>
    <row r="5555" spans="18:18" ht="13.8">
      <c r="R5555" s="10">
        <v>5527</v>
      </c>
    </row>
    <row r="5556" spans="18:18" ht="13.8">
      <c r="R5556" s="10">
        <v>5528</v>
      </c>
    </row>
    <row r="5557" spans="18:18" ht="13.8">
      <c r="R5557" s="10">
        <v>5529</v>
      </c>
    </row>
    <row r="5558" spans="18:18" ht="13.8">
      <c r="R5558" s="10">
        <v>5530</v>
      </c>
    </row>
    <row r="5559" spans="18:18" ht="13.8">
      <c r="R5559" s="10">
        <v>5531</v>
      </c>
    </row>
    <row r="5560" spans="18:18" ht="13.8">
      <c r="R5560" s="10">
        <v>5532</v>
      </c>
    </row>
    <row r="5561" spans="18:18" ht="13.8">
      <c r="R5561" s="10">
        <v>5533</v>
      </c>
    </row>
    <row r="5562" spans="18:18" ht="13.8">
      <c r="R5562" s="10">
        <v>5534</v>
      </c>
    </row>
    <row r="5563" spans="18:18" ht="13.8">
      <c r="R5563" s="10">
        <v>5535</v>
      </c>
    </row>
    <row r="5564" spans="18:18" ht="13.8">
      <c r="R5564" s="10">
        <v>5536</v>
      </c>
    </row>
    <row r="5565" spans="18:18" ht="13.8">
      <c r="R5565" s="10">
        <v>5537</v>
      </c>
    </row>
    <row r="5566" spans="18:18" ht="13.8">
      <c r="R5566" s="10">
        <v>5538</v>
      </c>
    </row>
    <row r="5567" spans="18:18" ht="13.8">
      <c r="R5567" s="10">
        <v>5539</v>
      </c>
    </row>
    <row r="5568" spans="18:18" ht="13.8">
      <c r="R5568" s="10">
        <v>5540</v>
      </c>
    </row>
    <row r="5569" spans="18:18" ht="13.8">
      <c r="R5569" s="10">
        <v>5541</v>
      </c>
    </row>
    <row r="5570" spans="18:18" ht="13.8">
      <c r="R5570" s="10">
        <v>5542</v>
      </c>
    </row>
    <row r="5571" spans="18:18" ht="13.8">
      <c r="R5571" s="10">
        <v>5543</v>
      </c>
    </row>
    <row r="5572" spans="18:18" ht="13.8">
      <c r="R5572" s="10">
        <v>5544</v>
      </c>
    </row>
    <row r="5573" spans="18:18" ht="13.8">
      <c r="R5573" s="10">
        <v>5545</v>
      </c>
    </row>
    <row r="5574" spans="18:18" ht="13.8">
      <c r="R5574" s="10">
        <v>5546</v>
      </c>
    </row>
    <row r="5575" spans="18:18" ht="13.8">
      <c r="R5575" s="10">
        <v>5547</v>
      </c>
    </row>
    <row r="5576" spans="18:18" ht="13.8">
      <c r="R5576" s="10">
        <v>5548</v>
      </c>
    </row>
    <row r="5577" spans="18:18" ht="13.8">
      <c r="R5577" s="10">
        <v>5549</v>
      </c>
    </row>
    <row r="5578" spans="18:18" ht="13.8">
      <c r="R5578" s="10">
        <v>5550</v>
      </c>
    </row>
    <row r="5579" spans="18:18" ht="13.8">
      <c r="R5579" s="10">
        <v>5551</v>
      </c>
    </row>
    <row r="5580" spans="18:18" ht="13.8">
      <c r="R5580" s="10">
        <v>5552</v>
      </c>
    </row>
    <row r="5581" spans="18:18" ht="13.8">
      <c r="R5581" s="10">
        <v>5553</v>
      </c>
    </row>
    <row r="5582" spans="18:18" ht="13.8">
      <c r="R5582" s="10">
        <v>5554</v>
      </c>
    </row>
    <row r="5583" spans="18:18" ht="13.8">
      <c r="R5583" s="10">
        <v>5555</v>
      </c>
    </row>
    <row r="5584" spans="18:18" ht="13.8">
      <c r="R5584" s="10">
        <v>5556</v>
      </c>
    </row>
    <row r="5585" spans="18:18" ht="13.8">
      <c r="R5585" s="10">
        <v>5557</v>
      </c>
    </row>
    <row r="5586" spans="18:18" ht="13.8">
      <c r="R5586" s="10">
        <v>5558</v>
      </c>
    </row>
    <row r="5587" spans="18:18" ht="13.8">
      <c r="R5587" s="10">
        <v>5559</v>
      </c>
    </row>
    <row r="5588" spans="18:18" ht="13.8">
      <c r="R5588" s="10">
        <v>5560</v>
      </c>
    </row>
    <row r="5589" spans="18:18" ht="13.8">
      <c r="R5589" s="10">
        <v>5561</v>
      </c>
    </row>
    <row r="5590" spans="18:18" ht="13.8">
      <c r="R5590" s="10">
        <v>5562</v>
      </c>
    </row>
    <row r="5591" spans="18:18" ht="13.8">
      <c r="R5591" s="10">
        <v>5563</v>
      </c>
    </row>
    <row r="5592" spans="18:18" ht="13.8">
      <c r="R5592" s="10">
        <v>5564</v>
      </c>
    </row>
    <row r="5593" spans="18:18" ht="13.8">
      <c r="R5593" s="10">
        <v>5565</v>
      </c>
    </row>
    <row r="5594" spans="18:18" ht="13.8">
      <c r="R5594" s="10">
        <v>5566</v>
      </c>
    </row>
    <row r="5595" spans="18:18" ht="13.8">
      <c r="R5595" s="10">
        <v>5567</v>
      </c>
    </row>
    <row r="5596" spans="18:18" ht="13.8">
      <c r="R5596" s="10">
        <v>5568</v>
      </c>
    </row>
    <row r="5597" spans="18:18" ht="13.8">
      <c r="R5597" s="10">
        <v>5569</v>
      </c>
    </row>
    <row r="5598" spans="18:18" ht="13.8">
      <c r="R5598" s="10">
        <v>5570</v>
      </c>
    </row>
    <row r="5599" spans="18:18" ht="13.8">
      <c r="R5599" s="10">
        <v>5571</v>
      </c>
    </row>
    <row r="5600" spans="18:18" ht="13.8">
      <c r="R5600" s="10">
        <v>5572</v>
      </c>
    </row>
    <row r="5601" spans="18:18" ht="13.8">
      <c r="R5601" s="10">
        <v>5573</v>
      </c>
    </row>
    <row r="5602" spans="18:18" ht="13.8">
      <c r="R5602" s="10">
        <v>5574</v>
      </c>
    </row>
    <row r="5603" spans="18:18" ht="13.8">
      <c r="R5603" s="10">
        <v>5575</v>
      </c>
    </row>
    <row r="5604" spans="18:18" ht="13.8">
      <c r="R5604" s="10">
        <v>5576</v>
      </c>
    </row>
    <row r="5605" spans="18:18" ht="13.8">
      <c r="R5605" s="10">
        <v>5577</v>
      </c>
    </row>
    <row r="5606" spans="18:18" ht="13.8">
      <c r="R5606" s="10">
        <v>5578</v>
      </c>
    </row>
    <row r="5607" spans="18:18" ht="13.8">
      <c r="R5607" s="10">
        <v>5579</v>
      </c>
    </row>
    <row r="5608" spans="18:18" ht="13.8">
      <c r="R5608" s="10">
        <v>5580</v>
      </c>
    </row>
    <row r="5609" spans="18:18" ht="13.8">
      <c r="R5609" s="10">
        <v>5581</v>
      </c>
    </row>
    <row r="5610" spans="18:18" ht="13.8">
      <c r="R5610" s="10">
        <v>5582</v>
      </c>
    </row>
    <row r="5611" spans="18:18" ht="13.8">
      <c r="R5611" s="10">
        <v>5583</v>
      </c>
    </row>
    <row r="5612" spans="18:18" ht="13.8">
      <c r="R5612" s="10">
        <v>5584</v>
      </c>
    </row>
    <row r="5613" spans="18:18" ht="13.8">
      <c r="R5613" s="10">
        <v>5585</v>
      </c>
    </row>
    <row r="5614" spans="18:18" ht="13.8">
      <c r="R5614" s="10">
        <v>5586</v>
      </c>
    </row>
    <row r="5615" spans="18:18" ht="13.8">
      <c r="R5615" s="10">
        <v>5587</v>
      </c>
    </row>
    <row r="5616" spans="18:18" ht="13.8">
      <c r="R5616" s="10">
        <v>5588</v>
      </c>
    </row>
    <row r="5617" spans="18:18" ht="13.8">
      <c r="R5617" s="10">
        <v>5589</v>
      </c>
    </row>
    <row r="5618" spans="18:18" ht="13.8">
      <c r="R5618" s="10">
        <v>5590</v>
      </c>
    </row>
    <row r="5619" spans="18:18" ht="13.8">
      <c r="R5619" s="10">
        <v>5591</v>
      </c>
    </row>
    <row r="5620" spans="18:18" ht="13.8">
      <c r="R5620" s="10">
        <v>5592</v>
      </c>
    </row>
    <row r="5621" spans="18:18" ht="13.8">
      <c r="R5621" s="10">
        <v>5593</v>
      </c>
    </row>
    <row r="5622" spans="18:18" ht="13.8">
      <c r="R5622" s="10">
        <v>5594</v>
      </c>
    </row>
    <row r="5623" spans="18:18" ht="13.8">
      <c r="R5623" s="10">
        <v>5595</v>
      </c>
    </row>
    <row r="5624" spans="18:18" ht="13.8">
      <c r="R5624" s="10">
        <v>5596</v>
      </c>
    </row>
    <row r="5625" spans="18:18" ht="13.8">
      <c r="R5625" s="10">
        <v>5597</v>
      </c>
    </row>
    <row r="5626" spans="18:18" ht="13.8">
      <c r="R5626" s="10">
        <v>5598</v>
      </c>
    </row>
    <row r="5627" spans="18:18" ht="13.8">
      <c r="R5627" s="10">
        <v>5599</v>
      </c>
    </row>
    <row r="5628" spans="18:18" ht="13.8">
      <c r="R5628" s="10">
        <v>5600</v>
      </c>
    </row>
    <row r="5629" spans="18:18" ht="13.8">
      <c r="R5629" s="10">
        <v>5601</v>
      </c>
    </row>
    <row r="5630" spans="18:18" ht="13.8">
      <c r="R5630" s="10">
        <v>5602</v>
      </c>
    </row>
    <row r="5631" spans="18:18" ht="13.8">
      <c r="R5631" s="10">
        <v>5603</v>
      </c>
    </row>
    <row r="5632" spans="18:18" ht="13.8">
      <c r="R5632" s="10">
        <v>5604</v>
      </c>
    </row>
    <row r="5633" spans="18:18" ht="13.8">
      <c r="R5633" s="10">
        <v>5605</v>
      </c>
    </row>
    <row r="5634" spans="18:18" ht="13.8">
      <c r="R5634" s="10">
        <v>5606</v>
      </c>
    </row>
    <row r="5635" spans="18:18" ht="13.8">
      <c r="R5635" s="10">
        <v>5607</v>
      </c>
    </row>
    <row r="5636" spans="18:18" ht="13.8">
      <c r="R5636" s="10">
        <v>5608</v>
      </c>
    </row>
    <row r="5637" spans="18:18" ht="13.8">
      <c r="R5637" s="10">
        <v>5609</v>
      </c>
    </row>
    <row r="5638" spans="18:18" ht="13.8">
      <c r="R5638" s="10">
        <v>5610</v>
      </c>
    </row>
    <row r="5639" spans="18:18" ht="13.8">
      <c r="R5639" s="10">
        <v>5611</v>
      </c>
    </row>
    <row r="5640" spans="18:18" ht="13.8">
      <c r="R5640" s="10">
        <v>5612</v>
      </c>
    </row>
    <row r="5641" spans="18:18" ht="13.8">
      <c r="R5641" s="10">
        <v>5613</v>
      </c>
    </row>
    <row r="5642" spans="18:18" ht="13.8">
      <c r="R5642" s="10">
        <v>5614</v>
      </c>
    </row>
    <row r="5643" spans="18:18" ht="13.8">
      <c r="R5643" s="10">
        <v>5615</v>
      </c>
    </row>
    <row r="5644" spans="18:18" ht="13.8">
      <c r="R5644" s="10">
        <v>5616</v>
      </c>
    </row>
    <row r="5645" spans="18:18" ht="13.8">
      <c r="R5645" s="10">
        <v>5617</v>
      </c>
    </row>
    <row r="5646" spans="18:18" ht="13.8">
      <c r="R5646" s="10">
        <v>5618</v>
      </c>
    </row>
    <row r="5647" spans="18:18" ht="13.8">
      <c r="R5647" s="10">
        <v>5619</v>
      </c>
    </row>
    <row r="5648" spans="18:18" ht="13.8">
      <c r="R5648" s="10">
        <v>5620</v>
      </c>
    </row>
    <row r="5649" spans="18:18" ht="13.8">
      <c r="R5649" s="10">
        <v>5621</v>
      </c>
    </row>
    <row r="5650" spans="18:18" ht="13.8">
      <c r="R5650" s="10">
        <v>5622</v>
      </c>
    </row>
    <row r="5651" spans="18:18" ht="13.8">
      <c r="R5651" s="10">
        <v>5623</v>
      </c>
    </row>
    <row r="5652" spans="18:18" ht="13.8">
      <c r="R5652" s="10">
        <v>5624</v>
      </c>
    </row>
    <row r="5653" spans="18:18" ht="13.8">
      <c r="R5653" s="10">
        <v>5625</v>
      </c>
    </row>
    <row r="5654" spans="18:18" ht="13.8">
      <c r="R5654" s="10">
        <v>5626</v>
      </c>
    </row>
    <row r="5655" spans="18:18" ht="13.8">
      <c r="R5655" s="10">
        <v>5627</v>
      </c>
    </row>
    <row r="5656" spans="18:18" ht="13.8">
      <c r="R5656" s="10">
        <v>5628</v>
      </c>
    </row>
    <row r="5657" spans="18:18" ht="13.8">
      <c r="R5657" s="10">
        <v>5629</v>
      </c>
    </row>
    <row r="5658" spans="18:18" ht="13.8">
      <c r="R5658" s="10">
        <v>5630</v>
      </c>
    </row>
    <row r="5659" spans="18:18" ht="13.8">
      <c r="R5659" s="10">
        <v>5631</v>
      </c>
    </row>
    <row r="5660" spans="18:18" ht="13.8">
      <c r="R5660" s="10">
        <v>5632</v>
      </c>
    </row>
    <row r="5661" spans="18:18" ht="13.8">
      <c r="R5661" s="10">
        <v>5633</v>
      </c>
    </row>
    <row r="5662" spans="18:18" ht="13.8">
      <c r="R5662" s="10">
        <v>5634</v>
      </c>
    </row>
    <row r="5663" spans="18:18" ht="13.8">
      <c r="R5663" s="10">
        <v>5635</v>
      </c>
    </row>
    <row r="5664" spans="18:18" ht="13.8">
      <c r="R5664" s="10">
        <v>5636</v>
      </c>
    </row>
    <row r="5665" spans="18:18" ht="13.8">
      <c r="R5665" s="10">
        <v>5637</v>
      </c>
    </row>
    <row r="5666" spans="18:18" ht="13.8">
      <c r="R5666" s="10">
        <v>5638</v>
      </c>
    </row>
    <row r="5667" spans="18:18" ht="13.8">
      <c r="R5667" s="10">
        <v>5639</v>
      </c>
    </row>
    <row r="5668" spans="18:18" ht="13.8">
      <c r="R5668" s="10">
        <v>5640</v>
      </c>
    </row>
    <row r="5669" spans="18:18" ht="13.8">
      <c r="R5669" s="10">
        <v>5641</v>
      </c>
    </row>
    <row r="5670" spans="18:18" ht="13.8">
      <c r="R5670" s="10">
        <v>5642</v>
      </c>
    </row>
    <row r="5671" spans="18:18" ht="13.8">
      <c r="R5671" s="10">
        <v>5643</v>
      </c>
    </row>
    <row r="5672" spans="18:18" ht="13.8">
      <c r="R5672" s="10">
        <v>5644</v>
      </c>
    </row>
    <row r="5673" spans="18:18" ht="13.8">
      <c r="R5673" s="10">
        <v>5645</v>
      </c>
    </row>
    <row r="5674" spans="18:18" ht="13.8">
      <c r="R5674" s="10">
        <v>5646</v>
      </c>
    </row>
    <row r="5675" spans="18:18" ht="13.8">
      <c r="R5675" s="10">
        <v>5647</v>
      </c>
    </row>
    <row r="5676" spans="18:18" ht="13.8">
      <c r="R5676" s="10">
        <v>5648</v>
      </c>
    </row>
    <row r="5677" spans="18:18" ht="13.8">
      <c r="R5677" s="10">
        <v>5649</v>
      </c>
    </row>
    <row r="5678" spans="18:18" ht="13.8">
      <c r="R5678" s="10">
        <v>5650</v>
      </c>
    </row>
    <row r="5679" spans="18:18" ht="13.8">
      <c r="R5679" s="10">
        <v>5651</v>
      </c>
    </row>
    <row r="5680" spans="18:18" ht="13.8">
      <c r="R5680" s="10">
        <v>5652</v>
      </c>
    </row>
    <row r="5681" spans="18:18" ht="13.8">
      <c r="R5681" s="10">
        <v>5653</v>
      </c>
    </row>
    <row r="5682" spans="18:18" ht="13.8">
      <c r="R5682" s="10">
        <v>5654</v>
      </c>
    </row>
    <row r="5683" spans="18:18" ht="13.8">
      <c r="R5683" s="10">
        <v>5655</v>
      </c>
    </row>
    <row r="5684" spans="18:18" ht="13.8">
      <c r="R5684" s="10">
        <v>5656</v>
      </c>
    </row>
    <row r="5685" spans="18:18" ht="13.8">
      <c r="R5685" s="10">
        <v>5657</v>
      </c>
    </row>
    <row r="5686" spans="18:18" ht="13.8">
      <c r="R5686" s="10">
        <v>5658</v>
      </c>
    </row>
    <row r="5687" spans="18:18" ht="13.8">
      <c r="R5687" s="10">
        <v>5659</v>
      </c>
    </row>
    <row r="5688" spans="18:18" ht="13.8">
      <c r="R5688" s="10">
        <v>5660</v>
      </c>
    </row>
    <row r="5689" spans="18:18" ht="13.8">
      <c r="R5689" s="10">
        <v>5661</v>
      </c>
    </row>
    <row r="5690" spans="18:18" ht="13.8">
      <c r="R5690" s="10">
        <v>5662</v>
      </c>
    </row>
    <row r="5691" spans="18:18" ht="13.8">
      <c r="R5691" s="10">
        <v>5663</v>
      </c>
    </row>
    <row r="5692" spans="18:18" ht="13.8">
      <c r="R5692" s="10">
        <v>5664</v>
      </c>
    </row>
    <row r="5693" spans="18:18" ht="13.8">
      <c r="R5693" s="10">
        <v>5665</v>
      </c>
    </row>
    <row r="5694" spans="18:18" ht="13.8">
      <c r="R5694" s="10">
        <v>5666</v>
      </c>
    </row>
    <row r="5695" spans="18:18" ht="13.8">
      <c r="R5695" s="10">
        <v>5667</v>
      </c>
    </row>
    <row r="5696" spans="18:18" ht="13.8">
      <c r="R5696" s="10">
        <v>5668</v>
      </c>
    </row>
    <row r="5697" spans="18:18" ht="13.8">
      <c r="R5697" s="10">
        <v>5669</v>
      </c>
    </row>
    <row r="5698" spans="18:18" ht="13.8">
      <c r="R5698" s="10">
        <v>5670</v>
      </c>
    </row>
    <row r="5699" spans="18:18" ht="13.8">
      <c r="R5699" s="10">
        <v>5671</v>
      </c>
    </row>
    <row r="5700" spans="18:18" ht="13.8">
      <c r="R5700" s="10">
        <v>5672</v>
      </c>
    </row>
    <row r="5701" spans="18:18" ht="13.8">
      <c r="R5701" s="10">
        <v>5673</v>
      </c>
    </row>
    <row r="5702" spans="18:18" ht="13.8">
      <c r="R5702" s="10">
        <v>5674</v>
      </c>
    </row>
    <row r="5703" spans="18:18" ht="13.8">
      <c r="R5703" s="10">
        <v>5675</v>
      </c>
    </row>
    <row r="5704" spans="18:18" ht="13.8">
      <c r="R5704" s="10">
        <v>5676</v>
      </c>
    </row>
    <row r="5705" spans="18:18" ht="13.8">
      <c r="R5705" s="10">
        <v>5677</v>
      </c>
    </row>
    <row r="5706" spans="18:18" ht="13.8">
      <c r="R5706" s="10">
        <v>5678</v>
      </c>
    </row>
    <row r="5707" spans="18:18" ht="13.8">
      <c r="R5707" s="10">
        <v>5679</v>
      </c>
    </row>
    <row r="5708" spans="18:18" ht="13.8">
      <c r="R5708" s="10">
        <v>5680</v>
      </c>
    </row>
    <row r="5709" spans="18:18" ht="13.8">
      <c r="R5709" s="10">
        <v>5681</v>
      </c>
    </row>
    <row r="5710" spans="18:18" ht="13.8">
      <c r="R5710" s="10">
        <v>5682</v>
      </c>
    </row>
    <row r="5711" spans="18:18" ht="13.8">
      <c r="R5711" s="10">
        <v>5683</v>
      </c>
    </row>
    <row r="5712" spans="18:18" ht="13.8">
      <c r="R5712" s="10">
        <v>5684</v>
      </c>
    </row>
    <row r="5713" spans="18:18" ht="13.8">
      <c r="R5713" s="10">
        <v>5685</v>
      </c>
    </row>
    <row r="5714" spans="18:18" ht="13.8">
      <c r="R5714" s="10">
        <v>5686</v>
      </c>
    </row>
    <row r="5715" spans="18:18" ht="13.8">
      <c r="R5715" s="10">
        <v>5687</v>
      </c>
    </row>
    <row r="5716" spans="18:18" ht="13.8">
      <c r="R5716" s="10">
        <v>5688</v>
      </c>
    </row>
    <row r="5717" spans="18:18" ht="13.8">
      <c r="R5717" s="10">
        <v>5689</v>
      </c>
    </row>
    <row r="5718" spans="18:18" ht="13.8">
      <c r="R5718" s="10">
        <v>5690</v>
      </c>
    </row>
    <row r="5719" spans="18:18" ht="13.8">
      <c r="R5719" s="10">
        <v>5691</v>
      </c>
    </row>
    <row r="5720" spans="18:18" ht="13.8">
      <c r="R5720" s="10">
        <v>5692</v>
      </c>
    </row>
    <row r="5721" spans="18:18" ht="13.8">
      <c r="R5721" s="10">
        <v>5693</v>
      </c>
    </row>
    <row r="5722" spans="18:18" ht="13.8">
      <c r="R5722" s="10">
        <v>5694</v>
      </c>
    </row>
    <row r="5723" spans="18:18" ht="13.8">
      <c r="R5723" s="10">
        <v>5695</v>
      </c>
    </row>
    <row r="5724" spans="18:18" ht="13.8">
      <c r="R5724" s="10">
        <v>5696</v>
      </c>
    </row>
    <row r="5725" spans="18:18" ht="13.8">
      <c r="R5725" s="10">
        <v>5697</v>
      </c>
    </row>
    <row r="5726" spans="18:18" ht="13.8">
      <c r="R5726" s="10">
        <v>5698</v>
      </c>
    </row>
    <row r="5727" spans="18:18" ht="13.8">
      <c r="R5727" s="10">
        <v>5699</v>
      </c>
    </row>
    <row r="5728" spans="18:18" ht="13.8">
      <c r="R5728" s="10">
        <v>5700</v>
      </c>
    </row>
    <row r="5729" spans="18:18" ht="13.8">
      <c r="R5729" s="10">
        <v>5701</v>
      </c>
    </row>
    <row r="5730" spans="18:18" ht="13.8">
      <c r="R5730" s="10">
        <v>5702</v>
      </c>
    </row>
    <row r="5731" spans="18:18" ht="13.8">
      <c r="R5731" s="10">
        <v>5703</v>
      </c>
    </row>
    <row r="5732" spans="18:18" ht="13.8">
      <c r="R5732" s="10">
        <v>5704</v>
      </c>
    </row>
    <row r="5733" spans="18:18" ht="13.8">
      <c r="R5733" s="10">
        <v>5705</v>
      </c>
    </row>
    <row r="5734" spans="18:18" ht="13.8">
      <c r="R5734" s="10">
        <v>5706</v>
      </c>
    </row>
    <row r="5735" spans="18:18" ht="13.8">
      <c r="R5735" s="10">
        <v>5707</v>
      </c>
    </row>
    <row r="5736" spans="18:18" ht="13.8">
      <c r="R5736" s="10">
        <v>5708</v>
      </c>
    </row>
    <row r="5737" spans="18:18" ht="13.8">
      <c r="R5737" s="10">
        <v>5709</v>
      </c>
    </row>
    <row r="5738" spans="18:18" ht="13.8">
      <c r="R5738" s="10">
        <v>5710</v>
      </c>
    </row>
    <row r="5739" spans="18:18" ht="13.8">
      <c r="R5739" s="10">
        <v>5711</v>
      </c>
    </row>
    <row r="5740" spans="18:18" ht="13.8">
      <c r="R5740" s="10">
        <v>5712</v>
      </c>
    </row>
    <row r="5741" spans="18:18" ht="13.8">
      <c r="R5741" s="10">
        <v>5713</v>
      </c>
    </row>
    <row r="5742" spans="18:18" ht="13.8">
      <c r="R5742" s="10">
        <v>5714</v>
      </c>
    </row>
    <row r="5743" spans="18:18" ht="13.8">
      <c r="R5743" s="10">
        <v>5715</v>
      </c>
    </row>
    <row r="5744" spans="18:18" ht="13.8">
      <c r="R5744" s="10">
        <v>5716</v>
      </c>
    </row>
    <row r="5745" spans="18:18" ht="13.8">
      <c r="R5745" s="10">
        <v>5717</v>
      </c>
    </row>
    <row r="5746" spans="18:18" ht="13.8">
      <c r="R5746" s="10">
        <v>5718</v>
      </c>
    </row>
    <row r="5747" spans="18:18" ht="13.8">
      <c r="R5747" s="10">
        <v>5719</v>
      </c>
    </row>
    <row r="5748" spans="18:18" ht="13.8">
      <c r="R5748" s="10">
        <v>5720</v>
      </c>
    </row>
    <row r="5749" spans="18:18" ht="13.8">
      <c r="R5749" s="10">
        <v>5721</v>
      </c>
    </row>
    <row r="5750" spans="18:18" ht="13.8">
      <c r="R5750" s="10">
        <v>5722</v>
      </c>
    </row>
    <row r="5751" spans="18:18" ht="13.8">
      <c r="R5751" s="10">
        <v>5723</v>
      </c>
    </row>
    <row r="5752" spans="18:18" ht="13.8">
      <c r="R5752" s="10">
        <v>5724</v>
      </c>
    </row>
    <row r="5753" spans="18:18" ht="13.8">
      <c r="R5753" s="10">
        <v>5725</v>
      </c>
    </row>
    <row r="5754" spans="18:18" ht="13.8">
      <c r="R5754" s="10">
        <v>5726</v>
      </c>
    </row>
    <row r="5755" spans="18:18" ht="13.8">
      <c r="R5755" s="10">
        <v>5727</v>
      </c>
    </row>
    <row r="5756" spans="18:18" ht="13.8">
      <c r="R5756" s="10">
        <v>5728</v>
      </c>
    </row>
    <row r="5757" spans="18:18" ht="13.8">
      <c r="R5757" s="10">
        <v>5729</v>
      </c>
    </row>
    <row r="5758" spans="18:18" ht="13.8">
      <c r="R5758" s="10">
        <v>5730</v>
      </c>
    </row>
    <row r="5759" spans="18:18" ht="13.8">
      <c r="R5759" s="10">
        <v>5731</v>
      </c>
    </row>
    <row r="5760" spans="18:18" ht="13.8">
      <c r="R5760" s="10">
        <v>5732</v>
      </c>
    </row>
    <row r="5761" spans="18:18" ht="13.8">
      <c r="R5761" s="10">
        <v>5733</v>
      </c>
    </row>
    <row r="5762" spans="18:18" ht="13.8">
      <c r="R5762" s="10">
        <v>5734</v>
      </c>
    </row>
    <row r="5763" spans="18:18" ht="13.8">
      <c r="R5763" s="10">
        <v>5735</v>
      </c>
    </row>
    <row r="5764" spans="18:18" ht="13.8">
      <c r="R5764" s="10">
        <v>5736</v>
      </c>
    </row>
    <row r="5765" spans="18:18" ht="13.8">
      <c r="R5765" s="10">
        <v>5737</v>
      </c>
    </row>
    <row r="5766" spans="18:18" ht="13.8">
      <c r="R5766" s="10">
        <v>5738</v>
      </c>
    </row>
    <row r="5767" spans="18:18" ht="13.8">
      <c r="R5767" s="10">
        <v>5739</v>
      </c>
    </row>
    <row r="5768" spans="18:18" ht="13.8">
      <c r="R5768" s="10">
        <v>5740</v>
      </c>
    </row>
    <row r="5769" spans="18:18" ht="13.8">
      <c r="R5769" s="10">
        <v>5741</v>
      </c>
    </row>
    <row r="5770" spans="18:18" ht="13.8">
      <c r="R5770" s="10">
        <v>5742</v>
      </c>
    </row>
    <row r="5771" spans="18:18" ht="13.8">
      <c r="R5771" s="10">
        <v>5743</v>
      </c>
    </row>
    <row r="5772" spans="18:18" ht="13.8">
      <c r="R5772" s="10">
        <v>5744</v>
      </c>
    </row>
    <row r="5773" spans="18:18" ht="13.8">
      <c r="R5773" s="10">
        <v>5745</v>
      </c>
    </row>
    <row r="5774" spans="18:18" ht="13.8">
      <c r="R5774" s="10">
        <v>5746</v>
      </c>
    </row>
    <row r="5775" spans="18:18" ht="13.8">
      <c r="R5775" s="10">
        <v>5747</v>
      </c>
    </row>
    <row r="5776" spans="18:18" ht="13.8">
      <c r="R5776" s="10">
        <v>5748</v>
      </c>
    </row>
    <row r="5777" spans="18:18" ht="13.8">
      <c r="R5777" s="10">
        <v>5749</v>
      </c>
    </row>
    <row r="5778" spans="18:18" ht="13.8">
      <c r="R5778" s="10">
        <v>5750</v>
      </c>
    </row>
    <row r="5779" spans="18:18" ht="13.8">
      <c r="R5779" s="10">
        <v>5751</v>
      </c>
    </row>
    <row r="5780" spans="18:18" ht="13.8">
      <c r="R5780" s="10">
        <v>5752</v>
      </c>
    </row>
    <row r="5781" spans="18:18" ht="13.8">
      <c r="R5781" s="10">
        <v>5753</v>
      </c>
    </row>
    <row r="5782" spans="18:18" ht="13.8">
      <c r="R5782" s="10">
        <v>5754</v>
      </c>
    </row>
    <row r="5783" spans="18:18" ht="13.8">
      <c r="R5783" s="10">
        <v>5755</v>
      </c>
    </row>
    <row r="5784" spans="18:18" ht="13.8">
      <c r="R5784" s="10">
        <v>5756</v>
      </c>
    </row>
    <row r="5785" spans="18:18" ht="13.8">
      <c r="R5785" s="10">
        <v>5757</v>
      </c>
    </row>
    <row r="5786" spans="18:18" ht="13.8">
      <c r="R5786" s="10">
        <v>5758</v>
      </c>
    </row>
    <row r="5787" spans="18:18" ht="13.8">
      <c r="R5787" s="10">
        <v>5759</v>
      </c>
    </row>
    <row r="5788" spans="18:18" ht="13.8">
      <c r="R5788" s="10">
        <v>5760</v>
      </c>
    </row>
    <row r="5789" spans="18:18" ht="13.8">
      <c r="R5789" s="10">
        <v>5761</v>
      </c>
    </row>
    <row r="5790" spans="18:18" ht="13.8">
      <c r="R5790" s="10">
        <v>5762</v>
      </c>
    </row>
    <row r="5791" spans="18:18" ht="13.8">
      <c r="R5791" s="10">
        <v>5763</v>
      </c>
    </row>
    <row r="5792" spans="18:18" ht="13.8">
      <c r="R5792" s="10">
        <v>5764</v>
      </c>
    </row>
    <row r="5793" spans="18:18" ht="13.8">
      <c r="R5793" s="10">
        <v>5765</v>
      </c>
    </row>
    <row r="5794" spans="18:18" ht="13.8">
      <c r="R5794" s="10">
        <v>5766</v>
      </c>
    </row>
    <row r="5795" spans="18:18" ht="13.8">
      <c r="R5795" s="10">
        <v>5767</v>
      </c>
    </row>
    <row r="5796" spans="18:18" ht="13.8">
      <c r="R5796" s="10">
        <v>5768</v>
      </c>
    </row>
    <row r="5797" spans="18:18" ht="13.8">
      <c r="R5797" s="10">
        <v>5769</v>
      </c>
    </row>
    <row r="5798" spans="18:18" ht="13.8">
      <c r="R5798" s="10">
        <v>5770</v>
      </c>
    </row>
    <row r="5799" spans="18:18" ht="13.8">
      <c r="R5799" s="10">
        <v>5771</v>
      </c>
    </row>
    <row r="5800" spans="18:18" ht="13.8">
      <c r="R5800" s="10">
        <v>5772</v>
      </c>
    </row>
    <row r="5801" spans="18:18" ht="13.8">
      <c r="R5801" s="10">
        <v>5773</v>
      </c>
    </row>
    <row r="5802" spans="18:18" ht="13.8">
      <c r="R5802" s="10">
        <v>5774</v>
      </c>
    </row>
    <row r="5803" spans="18:18" ht="13.8">
      <c r="R5803" s="10">
        <v>5775</v>
      </c>
    </row>
    <row r="5804" spans="18:18" ht="13.8">
      <c r="R5804" s="10">
        <v>5776</v>
      </c>
    </row>
    <row r="5805" spans="18:18" ht="13.8">
      <c r="R5805" s="10">
        <v>5777</v>
      </c>
    </row>
    <row r="5806" spans="18:18" ht="13.8">
      <c r="R5806" s="10">
        <v>5778</v>
      </c>
    </row>
    <row r="5807" spans="18:18" ht="13.8">
      <c r="R5807" s="10">
        <v>5779</v>
      </c>
    </row>
    <row r="5808" spans="18:18" ht="13.8">
      <c r="R5808" s="10">
        <v>5780</v>
      </c>
    </row>
    <row r="5809" spans="18:18" ht="13.8">
      <c r="R5809" s="10">
        <v>5781</v>
      </c>
    </row>
    <row r="5810" spans="18:18" ht="13.8">
      <c r="R5810" s="10">
        <v>5782</v>
      </c>
    </row>
    <row r="5811" spans="18:18" ht="13.8">
      <c r="R5811" s="10">
        <v>5783</v>
      </c>
    </row>
    <row r="5812" spans="18:18" ht="13.8">
      <c r="R5812" s="10">
        <v>5784</v>
      </c>
    </row>
    <row r="5813" spans="18:18" ht="13.8">
      <c r="R5813" s="10">
        <v>5785</v>
      </c>
    </row>
    <row r="5814" spans="18:18" ht="13.8">
      <c r="R5814" s="10">
        <v>5786</v>
      </c>
    </row>
    <row r="5815" spans="18:18" ht="13.8">
      <c r="R5815" s="10">
        <v>5787</v>
      </c>
    </row>
    <row r="5816" spans="18:18" ht="13.8">
      <c r="R5816" s="10">
        <v>5788</v>
      </c>
    </row>
    <row r="5817" spans="18:18" ht="13.8">
      <c r="R5817" s="10">
        <v>5789</v>
      </c>
    </row>
    <row r="5818" spans="18:18" ht="13.8">
      <c r="R5818" s="10">
        <v>5790</v>
      </c>
    </row>
    <row r="5819" spans="18:18" ht="13.8">
      <c r="R5819" s="10">
        <v>5791</v>
      </c>
    </row>
    <row r="5820" spans="18:18" ht="13.8">
      <c r="R5820" s="10">
        <v>5792</v>
      </c>
    </row>
    <row r="5821" spans="18:18" ht="13.8">
      <c r="R5821" s="10">
        <v>5793</v>
      </c>
    </row>
    <row r="5822" spans="18:18" ht="13.8">
      <c r="R5822" s="10">
        <v>5794</v>
      </c>
    </row>
    <row r="5823" spans="18:18" ht="13.8">
      <c r="R5823" s="10">
        <v>5795</v>
      </c>
    </row>
    <row r="5824" spans="18:18" ht="13.8">
      <c r="R5824" s="10">
        <v>5796</v>
      </c>
    </row>
    <row r="5825" spans="18:18" ht="13.8">
      <c r="R5825" s="10">
        <v>5797</v>
      </c>
    </row>
    <row r="5826" spans="18:18" ht="13.8">
      <c r="R5826" s="10">
        <v>5798</v>
      </c>
    </row>
    <row r="5827" spans="18:18" ht="13.8">
      <c r="R5827" s="10">
        <v>5799</v>
      </c>
    </row>
    <row r="5828" spans="18:18" ht="13.8">
      <c r="R5828" s="10">
        <v>5800</v>
      </c>
    </row>
    <row r="5829" spans="18:18" ht="13.8">
      <c r="R5829" s="10">
        <v>5801</v>
      </c>
    </row>
    <row r="5830" spans="18:18" ht="13.8">
      <c r="R5830" s="10">
        <v>5802</v>
      </c>
    </row>
    <row r="5831" spans="18:18" ht="13.8">
      <c r="R5831" s="10">
        <v>5803</v>
      </c>
    </row>
    <row r="5832" spans="18:18" ht="13.8">
      <c r="R5832" s="10">
        <v>5804</v>
      </c>
    </row>
    <row r="5833" spans="18:18" ht="13.8">
      <c r="R5833" s="10">
        <v>5805</v>
      </c>
    </row>
    <row r="5834" spans="18:18" ht="13.8">
      <c r="R5834" s="10">
        <v>5806</v>
      </c>
    </row>
    <row r="5835" spans="18:18" ht="13.8">
      <c r="R5835" s="10">
        <v>5807</v>
      </c>
    </row>
    <row r="5836" spans="18:18" ht="13.8">
      <c r="R5836" s="10">
        <v>5808</v>
      </c>
    </row>
    <row r="5837" spans="18:18" ht="13.8">
      <c r="R5837" s="10">
        <v>5809</v>
      </c>
    </row>
    <row r="5838" spans="18:18" ht="13.8">
      <c r="R5838" s="10">
        <v>5810</v>
      </c>
    </row>
    <row r="5839" spans="18:18" ht="13.8">
      <c r="R5839" s="10">
        <v>5811</v>
      </c>
    </row>
    <row r="5840" spans="18:18" ht="13.8">
      <c r="R5840" s="10">
        <v>5812</v>
      </c>
    </row>
    <row r="5841" spans="18:18" ht="13.8">
      <c r="R5841" s="10">
        <v>5813</v>
      </c>
    </row>
    <row r="5842" spans="18:18" ht="13.8">
      <c r="R5842" s="10">
        <v>5814</v>
      </c>
    </row>
    <row r="5843" spans="18:18" ht="13.8">
      <c r="R5843" s="10">
        <v>5815</v>
      </c>
    </row>
    <row r="5844" spans="18:18" ht="13.8">
      <c r="R5844" s="10">
        <v>5816</v>
      </c>
    </row>
    <row r="5845" spans="18:18" ht="13.8">
      <c r="R5845" s="10">
        <v>5817</v>
      </c>
    </row>
    <row r="5846" spans="18:18" ht="13.8">
      <c r="R5846" s="10">
        <v>5818</v>
      </c>
    </row>
    <row r="5847" spans="18:18" ht="13.8">
      <c r="R5847" s="10">
        <v>5819</v>
      </c>
    </row>
    <row r="5848" spans="18:18" ht="13.8">
      <c r="R5848" s="10">
        <v>5820</v>
      </c>
    </row>
    <row r="5849" spans="18:18" ht="13.8">
      <c r="R5849" s="10">
        <v>5821</v>
      </c>
    </row>
    <row r="5850" spans="18:18" ht="13.8">
      <c r="R5850" s="10">
        <v>5822</v>
      </c>
    </row>
    <row r="5851" spans="18:18" ht="13.8">
      <c r="R5851" s="10">
        <v>5823</v>
      </c>
    </row>
    <row r="5852" spans="18:18" ht="13.8">
      <c r="R5852" s="10">
        <v>5824</v>
      </c>
    </row>
    <row r="5853" spans="18:18" ht="13.8">
      <c r="R5853" s="10">
        <v>5825</v>
      </c>
    </row>
    <row r="5854" spans="18:18" ht="13.8">
      <c r="R5854" s="10">
        <v>5826</v>
      </c>
    </row>
    <row r="5855" spans="18:18" ht="13.8">
      <c r="R5855" s="10">
        <v>5827</v>
      </c>
    </row>
    <row r="5856" spans="18:18" ht="13.8">
      <c r="R5856" s="10">
        <v>5828</v>
      </c>
    </row>
    <row r="5857" spans="18:18" ht="13.8">
      <c r="R5857" s="10">
        <v>5829</v>
      </c>
    </row>
    <row r="5858" spans="18:18" ht="13.8">
      <c r="R5858" s="10">
        <v>5830</v>
      </c>
    </row>
    <row r="5859" spans="18:18" ht="13.8">
      <c r="R5859" s="10">
        <v>5831</v>
      </c>
    </row>
    <row r="5860" spans="18:18" ht="13.8">
      <c r="R5860" s="10">
        <v>5832</v>
      </c>
    </row>
    <row r="5861" spans="18:18" ht="13.8">
      <c r="R5861" s="10">
        <v>5833</v>
      </c>
    </row>
    <row r="5862" spans="18:18" ht="13.8">
      <c r="R5862" s="10">
        <v>5834</v>
      </c>
    </row>
    <row r="5863" spans="18:18" ht="13.8">
      <c r="R5863" s="10">
        <v>5835</v>
      </c>
    </row>
    <row r="5864" spans="18:18" ht="13.8">
      <c r="R5864" s="10">
        <v>5836</v>
      </c>
    </row>
    <row r="5865" spans="18:18" ht="13.8">
      <c r="R5865" s="10">
        <v>5837</v>
      </c>
    </row>
    <row r="5866" spans="18:18" ht="13.8">
      <c r="R5866" s="10">
        <v>5838</v>
      </c>
    </row>
    <row r="5867" spans="18:18" ht="13.8">
      <c r="R5867" s="10">
        <v>5839</v>
      </c>
    </row>
    <row r="5868" spans="18:18" ht="13.8">
      <c r="R5868" s="10">
        <v>5840</v>
      </c>
    </row>
    <row r="5869" spans="18:18" ht="13.8">
      <c r="R5869" s="10">
        <v>5841</v>
      </c>
    </row>
    <row r="5870" spans="18:18" ht="13.8">
      <c r="R5870" s="10">
        <v>5842</v>
      </c>
    </row>
    <row r="5871" spans="18:18" ht="13.8">
      <c r="R5871" s="10">
        <v>5843</v>
      </c>
    </row>
    <row r="5872" spans="18:18" ht="13.8">
      <c r="R5872" s="10">
        <v>5844</v>
      </c>
    </row>
    <row r="5873" spans="18:18" ht="13.8">
      <c r="R5873" s="10">
        <v>5845</v>
      </c>
    </row>
    <row r="5874" spans="18:18" ht="13.8">
      <c r="R5874" s="10">
        <v>5846</v>
      </c>
    </row>
    <row r="5875" spans="18:18" ht="13.8">
      <c r="R5875" s="10">
        <v>5847</v>
      </c>
    </row>
    <row r="5876" spans="18:18" ht="13.8">
      <c r="R5876" s="10">
        <v>5848</v>
      </c>
    </row>
    <row r="5877" spans="18:18" ht="13.8">
      <c r="R5877" s="10">
        <v>5849</v>
      </c>
    </row>
    <row r="5878" spans="18:18" ht="13.8">
      <c r="R5878" s="10">
        <v>5850</v>
      </c>
    </row>
    <row r="5879" spans="18:18" ht="13.8">
      <c r="R5879" s="10">
        <v>5851</v>
      </c>
    </row>
    <row r="5880" spans="18:18" ht="13.8">
      <c r="R5880" s="10">
        <v>5852</v>
      </c>
    </row>
    <row r="5881" spans="18:18" ht="13.8">
      <c r="R5881" s="10">
        <v>5853</v>
      </c>
    </row>
    <row r="5882" spans="18:18" ht="13.8">
      <c r="R5882" s="10">
        <v>5854</v>
      </c>
    </row>
    <row r="5883" spans="18:18" ht="13.8">
      <c r="R5883" s="10">
        <v>5855</v>
      </c>
    </row>
    <row r="5884" spans="18:18" ht="13.8">
      <c r="R5884" s="10">
        <v>5856</v>
      </c>
    </row>
    <row r="5885" spans="18:18" ht="13.8">
      <c r="R5885" s="10">
        <v>5857</v>
      </c>
    </row>
    <row r="5886" spans="18:18" ht="13.8">
      <c r="R5886" s="10">
        <v>5858</v>
      </c>
    </row>
    <row r="5887" spans="18:18" ht="13.8">
      <c r="R5887" s="10">
        <v>5859</v>
      </c>
    </row>
    <row r="5888" spans="18:18" ht="13.8">
      <c r="R5888" s="10">
        <v>5860</v>
      </c>
    </row>
    <row r="5889" spans="18:18" ht="13.8">
      <c r="R5889" s="10">
        <v>5861</v>
      </c>
    </row>
    <row r="5890" spans="18:18" ht="13.8">
      <c r="R5890" s="10">
        <v>5862</v>
      </c>
    </row>
    <row r="5891" spans="18:18" ht="13.8">
      <c r="R5891" s="10">
        <v>5863</v>
      </c>
    </row>
    <row r="5892" spans="18:18" ht="13.8">
      <c r="R5892" s="10">
        <v>5864</v>
      </c>
    </row>
    <row r="5893" spans="18:18" ht="13.8">
      <c r="R5893" s="10">
        <v>5865</v>
      </c>
    </row>
    <row r="5894" spans="18:18" ht="13.8">
      <c r="R5894" s="10">
        <v>5866</v>
      </c>
    </row>
    <row r="5895" spans="18:18" ht="13.8">
      <c r="R5895" s="10">
        <v>5867</v>
      </c>
    </row>
    <row r="5896" spans="18:18" ht="13.8">
      <c r="R5896" s="10">
        <v>5868</v>
      </c>
    </row>
    <row r="5897" spans="18:18" ht="13.8">
      <c r="R5897" s="10">
        <v>5869</v>
      </c>
    </row>
    <row r="5898" spans="18:18" ht="13.8">
      <c r="R5898" s="10">
        <v>5870</v>
      </c>
    </row>
    <row r="5899" spans="18:18" ht="13.8">
      <c r="R5899" s="10">
        <v>5871</v>
      </c>
    </row>
    <row r="5900" spans="18:18" ht="13.8">
      <c r="R5900" s="10">
        <v>5872</v>
      </c>
    </row>
    <row r="5901" spans="18:18" ht="13.8">
      <c r="R5901" s="10">
        <v>5873</v>
      </c>
    </row>
    <row r="5902" spans="18:18" ht="13.8">
      <c r="R5902" s="10">
        <v>5874</v>
      </c>
    </row>
    <row r="5903" spans="18:18" ht="13.8">
      <c r="R5903" s="10">
        <v>5875</v>
      </c>
    </row>
    <row r="5904" spans="18:18" ht="13.8">
      <c r="R5904" s="10">
        <v>5876</v>
      </c>
    </row>
    <row r="5905" spans="18:18" ht="13.8">
      <c r="R5905" s="10">
        <v>5877</v>
      </c>
    </row>
    <row r="5906" spans="18:18" ht="13.8">
      <c r="R5906" s="10">
        <v>5878</v>
      </c>
    </row>
    <row r="5907" spans="18:18" ht="13.8">
      <c r="R5907" s="10">
        <v>5879</v>
      </c>
    </row>
    <row r="5908" spans="18:18" ht="13.8">
      <c r="R5908" s="10">
        <v>5880</v>
      </c>
    </row>
    <row r="5909" spans="18:18" ht="13.8">
      <c r="R5909" s="10">
        <v>5881</v>
      </c>
    </row>
    <row r="5910" spans="18:18" ht="13.8">
      <c r="R5910" s="10">
        <v>5882</v>
      </c>
    </row>
    <row r="5911" spans="18:18" ht="13.8">
      <c r="R5911" s="10">
        <v>5883</v>
      </c>
    </row>
    <row r="5912" spans="18:18" ht="13.8">
      <c r="R5912" s="10">
        <v>5884</v>
      </c>
    </row>
    <row r="5913" spans="18:18" ht="13.8">
      <c r="R5913" s="10">
        <v>5885</v>
      </c>
    </row>
    <row r="5914" spans="18:18" ht="13.8">
      <c r="R5914" s="10">
        <v>5886</v>
      </c>
    </row>
    <row r="5915" spans="18:18" ht="13.8">
      <c r="R5915" s="10">
        <v>5887</v>
      </c>
    </row>
    <row r="5916" spans="18:18" ht="13.8">
      <c r="R5916" s="10">
        <v>5888</v>
      </c>
    </row>
    <row r="5917" spans="18:18" ht="13.8">
      <c r="R5917" s="10">
        <v>5889</v>
      </c>
    </row>
    <row r="5918" spans="18:18" ht="13.8">
      <c r="R5918" s="10">
        <v>5890</v>
      </c>
    </row>
    <row r="5919" spans="18:18" ht="13.8">
      <c r="R5919" s="10">
        <v>5891</v>
      </c>
    </row>
    <row r="5920" spans="18:18" ht="13.8">
      <c r="R5920" s="10">
        <v>5892</v>
      </c>
    </row>
    <row r="5921" spans="18:18" ht="13.8">
      <c r="R5921" s="10">
        <v>5893</v>
      </c>
    </row>
    <row r="5922" spans="18:18" ht="13.8">
      <c r="R5922" s="10">
        <v>5894</v>
      </c>
    </row>
    <row r="5923" spans="18:18" ht="13.8">
      <c r="R5923" s="10">
        <v>5895</v>
      </c>
    </row>
    <row r="5924" spans="18:18" ht="13.8">
      <c r="R5924" s="10">
        <v>5896</v>
      </c>
    </row>
    <row r="5925" spans="18:18" ht="13.8">
      <c r="R5925" s="10">
        <v>5897</v>
      </c>
    </row>
    <row r="5926" spans="18:18" ht="13.8">
      <c r="R5926" s="10">
        <v>5898</v>
      </c>
    </row>
    <row r="5927" spans="18:18" ht="13.8">
      <c r="R5927" s="10">
        <v>5899</v>
      </c>
    </row>
    <row r="5928" spans="18:18" ht="13.8">
      <c r="R5928" s="10">
        <v>5900</v>
      </c>
    </row>
    <row r="5929" spans="18:18" ht="13.8">
      <c r="R5929" s="10">
        <v>5901</v>
      </c>
    </row>
    <row r="5930" spans="18:18" ht="13.8">
      <c r="R5930" s="10">
        <v>5902</v>
      </c>
    </row>
    <row r="5931" spans="18:18" ht="13.8">
      <c r="R5931" s="10">
        <v>5903</v>
      </c>
    </row>
    <row r="5932" spans="18:18" ht="13.8">
      <c r="R5932" s="10">
        <v>5904</v>
      </c>
    </row>
    <row r="5933" spans="18:18" ht="13.8">
      <c r="R5933" s="10">
        <v>5905</v>
      </c>
    </row>
    <row r="5934" spans="18:18" ht="13.8">
      <c r="R5934" s="10">
        <v>5906</v>
      </c>
    </row>
    <row r="5935" spans="18:18" ht="13.8">
      <c r="R5935" s="10">
        <v>5907</v>
      </c>
    </row>
    <row r="5936" spans="18:18" ht="13.8">
      <c r="R5936" s="10">
        <v>5908</v>
      </c>
    </row>
    <row r="5937" spans="18:18" ht="13.8">
      <c r="R5937" s="10">
        <v>5909</v>
      </c>
    </row>
    <row r="5938" spans="18:18" ht="13.8">
      <c r="R5938" s="10">
        <v>5910</v>
      </c>
    </row>
    <row r="5939" spans="18:18" ht="13.8">
      <c r="R5939" s="10">
        <v>5911</v>
      </c>
    </row>
    <row r="5940" spans="18:18" ht="13.8">
      <c r="R5940" s="10">
        <v>5912</v>
      </c>
    </row>
    <row r="5941" spans="18:18" ht="13.8">
      <c r="R5941" s="10">
        <v>5913</v>
      </c>
    </row>
    <row r="5942" spans="18:18" ht="13.8">
      <c r="R5942" s="10">
        <v>5914</v>
      </c>
    </row>
    <row r="5943" spans="18:18" ht="13.8">
      <c r="R5943" s="10">
        <v>5915</v>
      </c>
    </row>
    <row r="5944" spans="18:18" ht="13.8">
      <c r="R5944" s="10">
        <v>5916</v>
      </c>
    </row>
    <row r="5945" spans="18:18" ht="13.8">
      <c r="R5945" s="10">
        <v>5917</v>
      </c>
    </row>
    <row r="5946" spans="18:18" ht="13.8">
      <c r="R5946" s="10">
        <v>5918</v>
      </c>
    </row>
    <row r="5947" spans="18:18" ht="13.8">
      <c r="R5947" s="10">
        <v>5919</v>
      </c>
    </row>
    <row r="5948" spans="18:18" ht="13.8">
      <c r="R5948" s="10">
        <v>5920</v>
      </c>
    </row>
    <row r="5949" spans="18:18" ht="13.8">
      <c r="R5949" s="10">
        <v>5921</v>
      </c>
    </row>
    <row r="5950" spans="18:18" ht="13.8">
      <c r="R5950" s="10">
        <v>5922</v>
      </c>
    </row>
    <row r="5951" spans="18:18" ht="13.8">
      <c r="R5951" s="10">
        <v>5923</v>
      </c>
    </row>
    <row r="5952" spans="18:18" ht="13.8">
      <c r="R5952" s="10">
        <v>5924</v>
      </c>
    </row>
    <row r="5953" spans="18:18" ht="13.8">
      <c r="R5953" s="10">
        <v>5925</v>
      </c>
    </row>
    <row r="5954" spans="18:18" ht="13.8">
      <c r="R5954" s="10">
        <v>5926</v>
      </c>
    </row>
    <row r="5955" spans="18:18" ht="13.8">
      <c r="R5955" s="10">
        <v>5927</v>
      </c>
    </row>
    <row r="5956" spans="18:18" ht="13.8">
      <c r="R5956" s="10">
        <v>5928</v>
      </c>
    </row>
    <row r="5957" spans="18:18" ht="13.8">
      <c r="R5957" s="10">
        <v>5929</v>
      </c>
    </row>
    <row r="5958" spans="18:18" ht="13.8">
      <c r="R5958" s="10">
        <v>5930</v>
      </c>
    </row>
    <row r="5959" spans="18:18" ht="13.8">
      <c r="R5959" s="10">
        <v>5931</v>
      </c>
    </row>
    <row r="5960" spans="18:18" ht="13.8">
      <c r="R5960" s="10">
        <v>5932</v>
      </c>
    </row>
    <row r="5961" spans="18:18" ht="13.8">
      <c r="R5961" s="10">
        <v>5933</v>
      </c>
    </row>
    <row r="5962" spans="18:18" ht="13.8">
      <c r="R5962" s="10">
        <v>5934</v>
      </c>
    </row>
    <row r="5963" spans="18:18" ht="13.8">
      <c r="R5963" s="10">
        <v>5935</v>
      </c>
    </row>
    <row r="5964" spans="18:18" ht="13.8">
      <c r="R5964" s="10">
        <v>5936</v>
      </c>
    </row>
    <row r="5965" spans="18:18" ht="13.8">
      <c r="R5965" s="10">
        <v>5937</v>
      </c>
    </row>
    <row r="5966" spans="18:18" ht="13.8">
      <c r="R5966" s="10">
        <v>5938</v>
      </c>
    </row>
    <row r="5967" spans="18:18" ht="13.8">
      <c r="R5967" s="10">
        <v>5939</v>
      </c>
    </row>
    <row r="5968" spans="18:18" ht="13.8">
      <c r="R5968" s="10">
        <v>5940</v>
      </c>
    </row>
    <row r="5969" spans="18:18" ht="13.8">
      <c r="R5969" s="10">
        <v>5941</v>
      </c>
    </row>
    <row r="5970" spans="18:18" ht="13.8">
      <c r="R5970" s="10">
        <v>5942</v>
      </c>
    </row>
    <row r="5971" spans="18:18" ht="13.8">
      <c r="R5971" s="10">
        <v>5943</v>
      </c>
    </row>
    <row r="5972" spans="18:18" ht="13.8">
      <c r="R5972" s="10">
        <v>5944</v>
      </c>
    </row>
    <row r="5973" spans="18:18" ht="13.8">
      <c r="R5973" s="10">
        <v>5945</v>
      </c>
    </row>
    <row r="5974" spans="18:18" ht="13.8">
      <c r="R5974" s="10">
        <v>5946</v>
      </c>
    </row>
    <row r="5975" spans="18:18" ht="13.8">
      <c r="R5975" s="10">
        <v>5947</v>
      </c>
    </row>
    <row r="5976" spans="18:18" ht="13.8">
      <c r="R5976" s="10">
        <v>5948</v>
      </c>
    </row>
    <row r="5977" spans="18:18" ht="13.8">
      <c r="R5977" s="10">
        <v>5949</v>
      </c>
    </row>
    <row r="5978" spans="18:18" ht="13.8">
      <c r="R5978" s="10">
        <v>5950</v>
      </c>
    </row>
    <row r="5979" spans="18:18" ht="13.8">
      <c r="R5979" s="10">
        <v>5951</v>
      </c>
    </row>
    <row r="5980" spans="18:18" ht="13.8">
      <c r="R5980" s="10">
        <v>5952</v>
      </c>
    </row>
    <row r="5981" spans="18:18" ht="13.8">
      <c r="R5981" s="10">
        <v>5953</v>
      </c>
    </row>
    <row r="5982" spans="18:18" ht="13.8">
      <c r="R5982" s="10">
        <v>5954</v>
      </c>
    </row>
    <row r="5983" spans="18:18" ht="13.8">
      <c r="R5983" s="10">
        <v>5955</v>
      </c>
    </row>
    <row r="5984" spans="18:18" ht="13.8">
      <c r="R5984" s="10">
        <v>5956</v>
      </c>
    </row>
    <row r="5985" spans="18:18" ht="13.8">
      <c r="R5985" s="10">
        <v>5957</v>
      </c>
    </row>
    <row r="5986" spans="18:18" ht="13.8">
      <c r="R5986" s="10">
        <v>5958</v>
      </c>
    </row>
    <row r="5987" spans="18:18" ht="13.8">
      <c r="R5987" s="10">
        <v>5959</v>
      </c>
    </row>
    <row r="5988" spans="18:18" ht="13.8">
      <c r="R5988" s="10">
        <v>5960</v>
      </c>
    </row>
    <row r="5989" spans="18:18" ht="13.8">
      <c r="R5989" s="10">
        <v>5961</v>
      </c>
    </row>
    <row r="5990" spans="18:18" ht="13.8">
      <c r="R5990" s="10">
        <v>5962</v>
      </c>
    </row>
    <row r="5991" spans="18:18" ht="13.8">
      <c r="R5991" s="10">
        <v>5963</v>
      </c>
    </row>
    <row r="5992" spans="18:18" ht="13.8">
      <c r="R5992" s="10">
        <v>5964</v>
      </c>
    </row>
    <row r="5993" spans="18:18" ht="13.8">
      <c r="R5993" s="10">
        <v>5965</v>
      </c>
    </row>
    <row r="5994" spans="18:18" ht="13.8">
      <c r="R5994" s="10">
        <v>5966</v>
      </c>
    </row>
    <row r="5995" spans="18:18" ht="13.8">
      <c r="R5995" s="10">
        <v>5967</v>
      </c>
    </row>
    <row r="5996" spans="18:18" ht="13.8">
      <c r="R5996" s="10">
        <v>5968</v>
      </c>
    </row>
    <row r="5997" spans="18:18" ht="13.8">
      <c r="R5997" s="10">
        <v>5969</v>
      </c>
    </row>
    <row r="5998" spans="18:18" ht="13.8">
      <c r="R5998" s="10">
        <v>5970</v>
      </c>
    </row>
    <row r="5999" spans="18:18" ht="13.8">
      <c r="R5999" s="10">
        <v>5971</v>
      </c>
    </row>
    <row r="6000" spans="18:18" ht="13.8">
      <c r="R6000" s="10">
        <v>5972</v>
      </c>
    </row>
    <row r="6001" spans="18:18" ht="13.8">
      <c r="R6001" s="10">
        <v>5973</v>
      </c>
    </row>
    <row r="6002" spans="18:18" ht="13.8">
      <c r="R6002" s="10">
        <v>5974</v>
      </c>
    </row>
    <row r="6003" spans="18:18" ht="13.8">
      <c r="R6003" s="10">
        <v>5975</v>
      </c>
    </row>
    <row r="6004" spans="18:18" ht="13.8">
      <c r="R6004" s="10">
        <v>5976</v>
      </c>
    </row>
    <row r="6005" spans="18:18" ht="13.8">
      <c r="R6005" s="10">
        <v>5977</v>
      </c>
    </row>
    <row r="6006" spans="18:18" ht="13.8">
      <c r="R6006" s="10">
        <v>5978</v>
      </c>
    </row>
    <row r="6007" spans="18:18" ht="13.8">
      <c r="R6007" s="10">
        <v>5979</v>
      </c>
    </row>
    <row r="6008" spans="18:18" ht="13.8">
      <c r="R6008" s="10">
        <v>5980</v>
      </c>
    </row>
    <row r="6009" spans="18:18" ht="13.8">
      <c r="R6009" s="10">
        <v>5981</v>
      </c>
    </row>
    <row r="6010" spans="18:18" ht="13.8">
      <c r="R6010" s="10">
        <v>5982</v>
      </c>
    </row>
    <row r="6011" spans="18:18" ht="13.8">
      <c r="R6011" s="10">
        <v>5983</v>
      </c>
    </row>
    <row r="6012" spans="18:18" ht="13.8">
      <c r="R6012" s="10">
        <v>5984</v>
      </c>
    </row>
    <row r="6013" spans="18:18" ht="13.8">
      <c r="R6013" s="10">
        <v>5985</v>
      </c>
    </row>
    <row r="6014" spans="18:18" ht="13.8">
      <c r="R6014" s="10">
        <v>5986</v>
      </c>
    </row>
    <row r="6015" spans="18:18" ht="13.8">
      <c r="R6015" s="10">
        <v>5987</v>
      </c>
    </row>
    <row r="6016" spans="18:18" ht="13.8">
      <c r="R6016" s="10">
        <v>5988</v>
      </c>
    </row>
    <row r="6017" spans="18:18" ht="13.8">
      <c r="R6017" s="10">
        <v>5989</v>
      </c>
    </row>
    <row r="6018" spans="18:18" ht="13.8">
      <c r="R6018" s="10">
        <v>5990</v>
      </c>
    </row>
    <row r="6019" spans="18:18" ht="13.8">
      <c r="R6019" s="10">
        <v>5991</v>
      </c>
    </row>
    <row r="6020" spans="18:18" ht="13.8">
      <c r="R6020" s="10">
        <v>5992</v>
      </c>
    </row>
    <row r="6021" spans="18:18" ht="13.8">
      <c r="R6021" s="10">
        <v>5993</v>
      </c>
    </row>
    <row r="6022" spans="18:18" ht="13.8">
      <c r="R6022" s="10">
        <v>5994</v>
      </c>
    </row>
    <row r="6023" spans="18:18" ht="13.8">
      <c r="R6023" s="10">
        <v>5995</v>
      </c>
    </row>
    <row r="6024" spans="18:18" ht="13.8">
      <c r="R6024" s="10">
        <v>5996</v>
      </c>
    </row>
    <row r="6025" spans="18:18" ht="13.8">
      <c r="R6025" s="10">
        <v>5997</v>
      </c>
    </row>
    <row r="6026" spans="18:18" ht="13.8">
      <c r="R6026" s="10">
        <v>5998</v>
      </c>
    </row>
    <row r="6027" spans="18:18" ht="13.8">
      <c r="R6027" s="10">
        <v>5999</v>
      </c>
    </row>
    <row r="6028" spans="18:18" ht="13.8">
      <c r="R6028" s="10">
        <v>6000</v>
      </c>
    </row>
    <row r="6029" spans="18:18" ht="13.8">
      <c r="R6029" s="10">
        <v>6001</v>
      </c>
    </row>
    <row r="6030" spans="18:18" ht="13.8">
      <c r="R6030" s="10">
        <v>6002</v>
      </c>
    </row>
    <row r="6031" spans="18:18" ht="13.8">
      <c r="R6031" s="10">
        <v>6003</v>
      </c>
    </row>
    <row r="6032" spans="18:18" ht="13.8">
      <c r="R6032" s="10">
        <v>6004</v>
      </c>
    </row>
    <row r="6033" spans="18:18" ht="13.8">
      <c r="R6033" s="10">
        <v>6005</v>
      </c>
    </row>
    <row r="6034" spans="18:18" ht="13.8">
      <c r="R6034" s="10">
        <v>6006</v>
      </c>
    </row>
    <row r="6035" spans="18:18" ht="13.8">
      <c r="R6035" s="10">
        <v>6007</v>
      </c>
    </row>
    <row r="6036" spans="18:18" ht="13.8">
      <c r="R6036" s="10">
        <v>6008</v>
      </c>
    </row>
    <row r="6037" spans="18:18" ht="13.8">
      <c r="R6037" s="10">
        <v>6009</v>
      </c>
    </row>
    <row r="6038" spans="18:18" ht="13.8">
      <c r="R6038" s="10">
        <v>6010</v>
      </c>
    </row>
    <row r="6039" spans="18:18" ht="13.8">
      <c r="R6039" s="10">
        <v>6011</v>
      </c>
    </row>
    <row r="6040" spans="18:18" ht="13.8">
      <c r="R6040" s="10">
        <v>6012</v>
      </c>
    </row>
    <row r="6041" spans="18:18" ht="13.8">
      <c r="R6041" s="10">
        <v>6013</v>
      </c>
    </row>
    <row r="6042" spans="18:18" ht="13.8">
      <c r="R6042" s="10">
        <v>6014</v>
      </c>
    </row>
    <row r="6043" spans="18:18" ht="13.8">
      <c r="R6043" s="10">
        <v>6015</v>
      </c>
    </row>
    <row r="6044" spans="18:18" ht="13.8">
      <c r="R6044" s="10">
        <v>6016</v>
      </c>
    </row>
    <row r="6045" spans="18:18" ht="13.8">
      <c r="R6045" s="10">
        <v>6017</v>
      </c>
    </row>
    <row r="6046" spans="18:18" ht="13.8">
      <c r="R6046" s="10">
        <v>6018</v>
      </c>
    </row>
    <row r="6047" spans="18:18" ht="13.8">
      <c r="R6047" s="10">
        <v>6019</v>
      </c>
    </row>
    <row r="6048" spans="18:18" ht="13.8">
      <c r="R6048" s="10">
        <v>6020</v>
      </c>
    </row>
    <row r="6049" spans="18:18" ht="13.8">
      <c r="R6049" s="10">
        <v>6021</v>
      </c>
    </row>
    <row r="6050" spans="18:18" ht="13.8">
      <c r="R6050" s="10">
        <v>6022</v>
      </c>
    </row>
    <row r="6051" spans="18:18" ht="13.8">
      <c r="R6051" s="10">
        <v>6023</v>
      </c>
    </row>
    <row r="6052" spans="18:18" ht="13.8">
      <c r="R6052" s="10">
        <v>6024</v>
      </c>
    </row>
    <row r="6053" spans="18:18" ht="13.8">
      <c r="R6053" s="10">
        <v>6025</v>
      </c>
    </row>
    <row r="6054" spans="18:18" ht="13.8">
      <c r="R6054" s="10">
        <v>6026</v>
      </c>
    </row>
    <row r="6055" spans="18:18" ht="13.8">
      <c r="R6055" s="10">
        <v>6027</v>
      </c>
    </row>
    <row r="6056" spans="18:18" ht="13.8">
      <c r="R6056" s="10">
        <v>6028</v>
      </c>
    </row>
    <row r="6057" spans="18:18" ht="13.8">
      <c r="R6057" s="10">
        <v>6029</v>
      </c>
    </row>
    <row r="6058" spans="18:18" ht="13.8">
      <c r="R6058" s="10">
        <v>6030</v>
      </c>
    </row>
    <row r="6059" spans="18:18" ht="13.8">
      <c r="R6059" s="10">
        <v>6031</v>
      </c>
    </row>
    <row r="6060" spans="18:18" ht="13.8">
      <c r="R6060" s="10">
        <v>6032</v>
      </c>
    </row>
    <row r="6061" spans="18:18" ht="13.8">
      <c r="R6061" s="10">
        <v>6033</v>
      </c>
    </row>
    <row r="6062" spans="18:18" ht="13.8">
      <c r="R6062" s="10">
        <v>6034</v>
      </c>
    </row>
    <row r="6063" spans="18:18" ht="13.8">
      <c r="R6063" s="10">
        <v>6035</v>
      </c>
    </row>
    <row r="6064" spans="18:18" ht="13.8">
      <c r="R6064" s="10">
        <v>6036</v>
      </c>
    </row>
    <row r="6065" spans="18:18" ht="13.8">
      <c r="R6065" s="10">
        <v>6037</v>
      </c>
    </row>
    <row r="6066" spans="18:18" ht="13.8">
      <c r="R6066" s="10">
        <v>6038</v>
      </c>
    </row>
    <row r="6067" spans="18:18" ht="13.8">
      <c r="R6067" s="10">
        <v>6039</v>
      </c>
    </row>
    <row r="6068" spans="18:18" ht="13.8">
      <c r="R6068" s="10">
        <v>6040</v>
      </c>
    </row>
    <row r="6069" spans="18:18" ht="13.8">
      <c r="R6069" s="10">
        <v>6041</v>
      </c>
    </row>
    <row r="6070" spans="18:18" ht="13.8">
      <c r="R6070" s="10">
        <v>6042</v>
      </c>
    </row>
    <row r="6071" spans="18:18" ht="13.8">
      <c r="R6071" s="10">
        <v>6043</v>
      </c>
    </row>
    <row r="6072" spans="18:18" ht="13.8">
      <c r="R6072" s="10">
        <v>6044</v>
      </c>
    </row>
    <row r="6073" spans="18:18" ht="13.8">
      <c r="R6073" s="10">
        <v>6045</v>
      </c>
    </row>
    <row r="6074" spans="18:18" ht="13.8">
      <c r="R6074" s="10">
        <v>6046</v>
      </c>
    </row>
    <row r="6075" spans="18:18" ht="13.8">
      <c r="R6075" s="10">
        <v>6047</v>
      </c>
    </row>
    <row r="6076" spans="18:18" ht="13.8">
      <c r="R6076" s="10">
        <v>6048</v>
      </c>
    </row>
    <row r="6077" spans="18:18" ht="13.8">
      <c r="R6077" s="10">
        <v>6049</v>
      </c>
    </row>
    <row r="6078" spans="18:18" ht="13.8">
      <c r="R6078" s="10">
        <v>6050</v>
      </c>
    </row>
    <row r="6079" spans="18:18" ht="13.8">
      <c r="R6079" s="10">
        <v>6051</v>
      </c>
    </row>
    <row r="6080" spans="18:18" ht="13.8">
      <c r="R6080" s="10">
        <v>6052</v>
      </c>
    </row>
    <row r="6081" spans="18:18" ht="13.8">
      <c r="R6081" s="10">
        <v>6053</v>
      </c>
    </row>
    <row r="6082" spans="18:18" ht="13.8">
      <c r="R6082" s="10">
        <v>6054</v>
      </c>
    </row>
    <row r="6083" spans="18:18" ht="13.8">
      <c r="R6083" s="10">
        <v>6055</v>
      </c>
    </row>
    <row r="6084" spans="18:18" ht="13.8">
      <c r="R6084" s="10">
        <v>6056</v>
      </c>
    </row>
    <row r="6085" spans="18:18" ht="13.8">
      <c r="R6085" s="10">
        <v>6057</v>
      </c>
    </row>
    <row r="6086" spans="18:18" ht="13.8">
      <c r="R6086" s="10">
        <v>6058</v>
      </c>
    </row>
    <row r="6087" spans="18:18" ht="13.8">
      <c r="R6087" s="10">
        <v>6059</v>
      </c>
    </row>
    <row r="6088" spans="18:18" ht="13.8">
      <c r="R6088" s="10">
        <v>6060</v>
      </c>
    </row>
    <row r="6089" spans="18:18" ht="13.8">
      <c r="R6089" s="10">
        <v>6061</v>
      </c>
    </row>
    <row r="6090" spans="18:18" ht="13.8">
      <c r="R6090" s="10">
        <v>6062</v>
      </c>
    </row>
    <row r="6091" spans="18:18" ht="13.8">
      <c r="R6091" s="10">
        <v>6063</v>
      </c>
    </row>
    <row r="6092" spans="18:18" ht="13.8">
      <c r="R6092" s="10">
        <v>6064</v>
      </c>
    </row>
    <row r="6093" spans="18:18" ht="13.8">
      <c r="R6093" s="10">
        <v>6065</v>
      </c>
    </row>
    <row r="6094" spans="18:18" ht="13.8">
      <c r="R6094" s="10">
        <v>6066</v>
      </c>
    </row>
    <row r="6095" spans="18:18" ht="13.8">
      <c r="R6095" s="10">
        <v>6067</v>
      </c>
    </row>
    <row r="6096" spans="18:18" ht="13.8">
      <c r="R6096" s="10">
        <v>6068</v>
      </c>
    </row>
    <row r="6097" spans="18:18" ht="13.8">
      <c r="R6097" s="10">
        <v>6069</v>
      </c>
    </row>
    <row r="6098" spans="18:18" ht="13.8">
      <c r="R6098" s="10">
        <v>6070</v>
      </c>
    </row>
    <row r="6099" spans="18:18" ht="13.8">
      <c r="R6099" s="10">
        <v>6071</v>
      </c>
    </row>
    <row r="6100" spans="18:18" ht="13.8">
      <c r="R6100" s="10">
        <v>6072</v>
      </c>
    </row>
    <row r="6101" spans="18:18" ht="13.8">
      <c r="R6101" s="10">
        <v>6073</v>
      </c>
    </row>
    <row r="6102" spans="18:18" ht="13.8">
      <c r="R6102" s="10">
        <v>6074</v>
      </c>
    </row>
    <row r="6103" spans="18:18" ht="13.8">
      <c r="R6103" s="10">
        <v>6075</v>
      </c>
    </row>
    <row r="6104" spans="18:18" ht="13.8">
      <c r="R6104" s="10">
        <v>6076</v>
      </c>
    </row>
    <row r="6105" spans="18:18" ht="13.8">
      <c r="R6105" s="10">
        <v>6077</v>
      </c>
    </row>
    <row r="6106" spans="18:18" ht="13.8">
      <c r="R6106" s="10">
        <v>6078</v>
      </c>
    </row>
    <row r="6107" spans="18:18" ht="13.8">
      <c r="R6107" s="10">
        <v>6079</v>
      </c>
    </row>
    <row r="6108" spans="18:18" ht="13.8">
      <c r="R6108" s="10">
        <v>6080</v>
      </c>
    </row>
    <row r="6109" spans="18:18" ht="13.8">
      <c r="R6109" s="10">
        <v>6081</v>
      </c>
    </row>
    <row r="6110" spans="18:18" ht="13.8">
      <c r="R6110" s="10">
        <v>6082</v>
      </c>
    </row>
    <row r="6111" spans="18:18" ht="13.8">
      <c r="R6111" s="10">
        <v>6083</v>
      </c>
    </row>
    <row r="6112" spans="18:18" ht="13.8">
      <c r="R6112" s="10">
        <v>6084</v>
      </c>
    </row>
    <row r="6113" spans="18:18" ht="13.8">
      <c r="R6113" s="10">
        <v>6085</v>
      </c>
    </row>
    <row r="6114" spans="18:18" ht="13.8">
      <c r="R6114" s="10">
        <v>6086</v>
      </c>
    </row>
    <row r="6115" spans="18:18" ht="13.8">
      <c r="R6115" s="10">
        <v>6087</v>
      </c>
    </row>
    <row r="6116" spans="18:18" ht="13.8">
      <c r="R6116" s="10">
        <v>6088</v>
      </c>
    </row>
    <row r="6117" spans="18:18" ht="13.8">
      <c r="R6117" s="10">
        <v>6089</v>
      </c>
    </row>
    <row r="6118" spans="18:18" ht="13.8">
      <c r="R6118" s="10">
        <v>6090</v>
      </c>
    </row>
    <row r="6119" spans="18:18" ht="13.8">
      <c r="R6119" s="10">
        <v>6091</v>
      </c>
    </row>
    <row r="6120" spans="18:18" ht="13.8">
      <c r="R6120" s="10">
        <v>6092</v>
      </c>
    </row>
    <row r="6121" spans="18:18" ht="13.8">
      <c r="R6121" s="10">
        <v>6093</v>
      </c>
    </row>
    <row r="6122" spans="18:18" ht="13.8">
      <c r="R6122" s="10">
        <v>6094</v>
      </c>
    </row>
    <row r="6123" spans="18:18" ht="13.8">
      <c r="R6123" s="10">
        <v>6095</v>
      </c>
    </row>
    <row r="6124" spans="18:18" ht="13.8">
      <c r="R6124" s="10">
        <v>6096</v>
      </c>
    </row>
    <row r="6125" spans="18:18" ht="13.8">
      <c r="R6125" s="10">
        <v>6097</v>
      </c>
    </row>
    <row r="6126" spans="18:18" ht="13.8">
      <c r="R6126" s="10">
        <v>6098</v>
      </c>
    </row>
    <row r="6127" spans="18:18" ht="13.8">
      <c r="R6127" s="10">
        <v>6099</v>
      </c>
    </row>
    <row r="6128" spans="18:18" ht="13.8">
      <c r="R6128" s="10">
        <v>6100</v>
      </c>
    </row>
    <row r="6129" spans="18:18" ht="13.8">
      <c r="R6129" s="10">
        <v>6101</v>
      </c>
    </row>
    <row r="6130" spans="18:18" ht="13.8">
      <c r="R6130" s="10">
        <v>6102</v>
      </c>
    </row>
    <row r="6131" spans="18:18" ht="13.8">
      <c r="R6131" s="10">
        <v>6103</v>
      </c>
    </row>
    <row r="6132" spans="18:18" ht="13.8">
      <c r="R6132" s="10">
        <v>6104</v>
      </c>
    </row>
    <row r="6133" spans="18:18" ht="13.8">
      <c r="R6133" s="10">
        <v>6105</v>
      </c>
    </row>
    <row r="6134" spans="18:18" ht="13.8">
      <c r="R6134" s="10">
        <v>6106</v>
      </c>
    </row>
    <row r="6135" spans="18:18" ht="13.8">
      <c r="R6135" s="10">
        <v>6107</v>
      </c>
    </row>
    <row r="6136" spans="18:18" ht="13.8">
      <c r="R6136" s="10">
        <v>6108</v>
      </c>
    </row>
    <row r="6137" spans="18:18" ht="13.8">
      <c r="R6137" s="10">
        <v>6109</v>
      </c>
    </row>
    <row r="6138" spans="18:18" ht="13.8">
      <c r="R6138" s="10">
        <v>6110</v>
      </c>
    </row>
    <row r="6139" spans="18:18" ht="13.8">
      <c r="R6139" s="10">
        <v>6111</v>
      </c>
    </row>
    <row r="6140" spans="18:18" ht="13.8">
      <c r="R6140" s="10">
        <v>6112</v>
      </c>
    </row>
    <row r="6141" spans="18:18" ht="13.8">
      <c r="R6141" s="10">
        <v>6113</v>
      </c>
    </row>
    <row r="6142" spans="18:18" ht="13.8">
      <c r="R6142" s="10">
        <v>6114</v>
      </c>
    </row>
    <row r="6143" spans="18:18" ht="13.8">
      <c r="R6143" s="10">
        <v>6115</v>
      </c>
    </row>
    <row r="6144" spans="18:18" ht="13.8">
      <c r="R6144" s="10">
        <v>6116</v>
      </c>
    </row>
    <row r="6145" spans="18:18" ht="13.8">
      <c r="R6145" s="10">
        <v>6117</v>
      </c>
    </row>
    <row r="6146" spans="18:18" ht="13.8">
      <c r="R6146" s="10">
        <v>6118</v>
      </c>
    </row>
    <row r="6147" spans="18:18" ht="13.8">
      <c r="R6147" s="10">
        <v>6119</v>
      </c>
    </row>
    <row r="6148" spans="18:18" ht="13.8">
      <c r="R6148" s="10">
        <v>6120</v>
      </c>
    </row>
    <row r="6149" spans="18:18" ht="13.8">
      <c r="R6149" s="10">
        <v>6121</v>
      </c>
    </row>
    <row r="6150" spans="18:18" ht="13.8">
      <c r="R6150" s="10">
        <v>6122</v>
      </c>
    </row>
    <row r="6151" spans="18:18" ht="13.8">
      <c r="R6151" s="10">
        <v>6123</v>
      </c>
    </row>
    <row r="6152" spans="18:18" ht="13.8">
      <c r="R6152" s="10">
        <v>6124</v>
      </c>
    </row>
    <row r="6153" spans="18:18" ht="13.8">
      <c r="R6153" s="10">
        <v>6125</v>
      </c>
    </row>
    <row r="6154" spans="18:18" ht="13.8">
      <c r="R6154" s="10">
        <v>6126</v>
      </c>
    </row>
    <row r="6155" spans="18:18" ht="13.8">
      <c r="R6155" s="10">
        <v>6127</v>
      </c>
    </row>
    <row r="6156" spans="18:18" ht="13.8">
      <c r="R6156" s="10">
        <v>6128</v>
      </c>
    </row>
    <row r="6157" spans="18:18" ht="13.8">
      <c r="R6157" s="10">
        <v>6129</v>
      </c>
    </row>
    <row r="6158" spans="18:18" ht="13.8">
      <c r="R6158" s="10">
        <v>6130</v>
      </c>
    </row>
    <row r="6159" spans="18:18" ht="13.8">
      <c r="R6159" s="10">
        <v>6131</v>
      </c>
    </row>
    <row r="6160" spans="18:18" ht="13.8">
      <c r="R6160" s="10">
        <v>6132</v>
      </c>
    </row>
    <row r="6161" spans="18:18" ht="13.8">
      <c r="R6161" s="10">
        <v>6133</v>
      </c>
    </row>
    <row r="6162" spans="18:18" ht="13.8">
      <c r="R6162" s="10">
        <v>6134</v>
      </c>
    </row>
    <row r="6163" spans="18:18" ht="13.8">
      <c r="R6163" s="10">
        <v>6135</v>
      </c>
    </row>
    <row r="6164" spans="18:18" ht="13.8">
      <c r="R6164" s="10">
        <v>6136</v>
      </c>
    </row>
    <row r="6165" spans="18:18" ht="13.8">
      <c r="R6165" s="10">
        <v>6137</v>
      </c>
    </row>
    <row r="6166" spans="18:18" ht="13.8">
      <c r="R6166" s="10">
        <v>6138</v>
      </c>
    </row>
    <row r="6167" spans="18:18" ht="13.8">
      <c r="R6167" s="10">
        <v>6139</v>
      </c>
    </row>
    <row r="6168" spans="18:18" ht="13.8">
      <c r="R6168" s="10">
        <v>6140</v>
      </c>
    </row>
    <row r="6169" spans="18:18" ht="13.8">
      <c r="R6169" s="10">
        <v>6141</v>
      </c>
    </row>
    <row r="6170" spans="18:18" ht="13.8">
      <c r="R6170" s="10">
        <v>6142</v>
      </c>
    </row>
    <row r="6171" spans="18:18" ht="13.8">
      <c r="R6171" s="10">
        <v>6143</v>
      </c>
    </row>
    <row r="6172" spans="18:18" ht="13.8">
      <c r="R6172" s="10">
        <v>6144</v>
      </c>
    </row>
    <row r="6173" spans="18:18" ht="13.8">
      <c r="R6173" s="10">
        <v>6145</v>
      </c>
    </row>
    <row r="6174" spans="18:18" ht="13.8">
      <c r="R6174" s="10">
        <v>6146</v>
      </c>
    </row>
    <row r="6175" spans="18:18" ht="13.8">
      <c r="R6175" s="10">
        <v>6147</v>
      </c>
    </row>
    <row r="6176" spans="18:18" ht="13.8">
      <c r="R6176" s="10">
        <v>6148</v>
      </c>
    </row>
    <row r="6177" spans="18:18" ht="13.8">
      <c r="R6177" s="10">
        <v>6149</v>
      </c>
    </row>
    <row r="6178" spans="18:18" ht="13.8">
      <c r="R6178" s="10">
        <v>6150</v>
      </c>
    </row>
    <row r="6179" spans="18:18" ht="13.8">
      <c r="R6179" s="10">
        <v>6151</v>
      </c>
    </row>
    <row r="6180" spans="18:18" ht="13.8">
      <c r="R6180" s="10">
        <v>6152</v>
      </c>
    </row>
    <row r="6181" spans="18:18" ht="13.8">
      <c r="R6181" s="10">
        <v>6153</v>
      </c>
    </row>
    <row r="6182" spans="18:18" ht="13.8">
      <c r="R6182" s="10">
        <v>6154</v>
      </c>
    </row>
    <row r="6183" spans="18:18" ht="13.8">
      <c r="R6183" s="10">
        <v>6155</v>
      </c>
    </row>
    <row r="6184" spans="18:18" ht="13.8">
      <c r="R6184" s="10">
        <v>6156</v>
      </c>
    </row>
    <row r="6185" spans="18:18" ht="13.8">
      <c r="R6185" s="10">
        <v>6157</v>
      </c>
    </row>
    <row r="6186" spans="18:18" ht="13.8">
      <c r="R6186" s="10">
        <v>6158</v>
      </c>
    </row>
    <row r="6187" spans="18:18" ht="13.8">
      <c r="R6187" s="10">
        <v>6159</v>
      </c>
    </row>
    <row r="6188" spans="18:18" ht="13.8">
      <c r="R6188" s="10">
        <v>6160</v>
      </c>
    </row>
    <row r="6189" spans="18:18" ht="13.8">
      <c r="R6189" s="10">
        <v>6161</v>
      </c>
    </row>
    <row r="6190" spans="18:18" ht="13.8">
      <c r="R6190" s="10">
        <v>6162</v>
      </c>
    </row>
    <row r="6191" spans="18:18" ht="13.8">
      <c r="R6191" s="10">
        <v>6163</v>
      </c>
    </row>
    <row r="6192" spans="18:18" ht="13.8">
      <c r="R6192" s="10">
        <v>6164</v>
      </c>
    </row>
    <row r="6193" spans="18:18" ht="13.8">
      <c r="R6193" s="10">
        <v>6165</v>
      </c>
    </row>
    <row r="6194" spans="18:18" ht="13.8">
      <c r="R6194" s="10">
        <v>6166</v>
      </c>
    </row>
    <row r="6195" spans="18:18" ht="13.8">
      <c r="R6195" s="10">
        <v>6167</v>
      </c>
    </row>
    <row r="6196" spans="18:18" ht="13.8">
      <c r="R6196" s="10">
        <v>6168</v>
      </c>
    </row>
    <row r="6197" spans="18:18" ht="13.8">
      <c r="R6197" s="10">
        <v>6169</v>
      </c>
    </row>
    <row r="6198" spans="18:18" ht="13.8">
      <c r="R6198" s="10">
        <v>6170</v>
      </c>
    </row>
    <row r="6199" spans="18:18" ht="13.8">
      <c r="R6199" s="10">
        <v>6171</v>
      </c>
    </row>
    <row r="6200" spans="18:18" ht="13.8">
      <c r="R6200" s="10">
        <v>6172</v>
      </c>
    </row>
    <row r="6201" spans="18:18" ht="13.8">
      <c r="R6201" s="10">
        <v>6173</v>
      </c>
    </row>
    <row r="6202" spans="18:18" ht="13.8">
      <c r="R6202" s="10">
        <v>6174</v>
      </c>
    </row>
    <row r="6203" spans="18:18" ht="13.8">
      <c r="R6203" s="10">
        <v>6175</v>
      </c>
    </row>
    <row r="6204" spans="18:18" ht="13.8">
      <c r="R6204" s="10">
        <v>6176</v>
      </c>
    </row>
    <row r="6205" spans="18:18" ht="13.8">
      <c r="R6205" s="10">
        <v>6177</v>
      </c>
    </row>
    <row r="6206" spans="18:18" ht="13.8">
      <c r="R6206" s="10">
        <v>6178</v>
      </c>
    </row>
    <row r="6207" spans="18:18" ht="13.8">
      <c r="R6207" s="10">
        <v>6179</v>
      </c>
    </row>
    <row r="6208" spans="18:18" ht="13.8">
      <c r="R6208" s="10">
        <v>6180</v>
      </c>
    </row>
    <row r="6209" spans="18:18" ht="13.8">
      <c r="R6209" s="10">
        <v>6181</v>
      </c>
    </row>
    <row r="6210" spans="18:18" ht="13.8">
      <c r="R6210" s="10">
        <v>6182</v>
      </c>
    </row>
    <row r="6211" spans="18:18" ht="13.8">
      <c r="R6211" s="10">
        <v>6183</v>
      </c>
    </row>
    <row r="6212" spans="18:18" ht="13.8">
      <c r="R6212" s="10">
        <v>6184</v>
      </c>
    </row>
    <row r="6213" spans="18:18" ht="13.8">
      <c r="R6213" s="10">
        <v>6185</v>
      </c>
    </row>
    <row r="6214" spans="18:18" ht="13.8">
      <c r="R6214" s="10">
        <v>6186</v>
      </c>
    </row>
    <row r="6215" spans="18:18" ht="13.8">
      <c r="R6215" s="10">
        <v>6187</v>
      </c>
    </row>
    <row r="6216" spans="18:18" ht="13.8">
      <c r="R6216" s="10">
        <v>6188</v>
      </c>
    </row>
    <row r="6217" spans="18:18" ht="13.8">
      <c r="R6217" s="10">
        <v>6189</v>
      </c>
    </row>
    <row r="6218" spans="18:18" ht="13.8">
      <c r="R6218" s="10">
        <v>6190</v>
      </c>
    </row>
    <row r="6219" spans="18:18" ht="13.8">
      <c r="R6219" s="10">
        <v>6191</v>
      </c>
    </row>
    <row r="6220" spans="18:18" ht="13.8">
      <c r="R6220" s="10">
        <v>6192</v>
      </c>
    </row>
    <row r="6221" spans="18:18" ht="13.8">
      <c r="R6221" s="10">
        <v>6193</v>
      </c>
    </row>
    <row r="6222" spans="18:18" ht="13.8">
      <c r="R6222" s="10">
        <v>6194</v>
      </c>
    </row>
    <row r="6223" spans="18:18" ht="13.8">
      <c r="R6223" s="10">
        <v>6195</v>
      </c>
    </row>
    <row r="6224" spans="18:18" ht="13.8">
      <c r="R6224" s="10">
        <v>6196</v>
      </c>
    </row>
    <row r="6225" spans="18:18" ht="13.8">
      <c r="R6225" s="10">
        <v>6197</v>
      </c>
    </row>
    <row r="6226" spans="18:18" ht="13.8">
      <c r="R6226" s="10">
        <v>6198</v>
      </c>
    </row>
    <row r="6227" spans="18:18" ht="13.8">
      <c r="R6227" s="10">
        <v>6199</v>
      </c>
    </row>
    <row r="6228" spans="18:18" ht="13.8">
      <c r="R6228" s="10">
        <v>6200</v>
      </c>
    </row>
    <row r="6229" spans="18:18" ht="13.8">
      <c r="R6229" s="10">
        <v>6201</v>
      </c>
    </row>
    <row r="6230" spans="18:18" ht="13.8">
      <c r="R6230" s="10">
        <v>6202</v>
      </c>
    </row>
    <row r="6231" spans="18:18" ht="13.8">
      <c r="R6231" s="10">
        <v>6203</v>
      </c>
    </row>
    <row r="6232" spans="18:18" ht="13.8">
      <c r="R6232" s="10">
        <v>6204</v>
      </c>
    </row>
    <row r="6233" spans="18:18" ht="13.8">
      <c r="R6233" s="10">
        <v>6205</v>
      </c>
    </row>
    <row r="6234" spans="18:18" ht="13.8">
      <c r="R6234" s="10">
        <v>6206</v>
      </c>
    </row>
    <row r="6235" spans="18:18" ht="13.8">
      <c r="R6235" s="10">
        <v>6207</v>
      </c>
    </row>
    <row r="6236" spans="18:18" ht="13.8">
      <c r="R6236" s="10">
        <v>6208</v>
      </c>
    </row>
    <row r="6237" spans="18:18" ht="13.8">
      <c r="R6237" s="10">
        <v>6209</v>
      </c>
    </row>
    <row r="6238" spans="18:18" ht="13.8">
      <c r="R6238" s="10">
        <v>6210</v>
      </c>
    </row>
    <row r="6239" spans="18:18" ht="13.8">
      <c r="R6239" s="10">
        <v>6211</v>
      </c>
    </row>
    <row r="6240" spans="18:18" ht="13.8">
      <c r="R6240" s="10">
        <v>6212</v>
      </c>
    </row>
    <row r="6241" spans="18:18" ht="13.8">
      <c r="R6241" s="10">
        <v>6213</v>
      </c>
    </row>
    <row r="6242" spans="18:18" ht="13.8">
      <c r="R6242" s="10">
        <v>6214</v>
      </c>
    </row>
    <row r="6243" spans="18:18" ht="13.8">
      <c r="R6243" s="10">
        <v>6215</v>
      </c>
    </row>
    <row r="6244" spans="18:18" ht="13.8">
      <c r="R6244" s="10">
        <v>6216</v>
      </c>
    </row>
    <row r="6245" spans="18:18" ht="13.8">
      <c r="R6245" s="10">
        <v>6217</v>
      </c>
    </row>
    <row r="6246" spans="18:18" ht="13.8">
      <c r="R6246" s="10">
        <v>6218</v>
      </c>
    </row>
    <row r="6247" spans="18:18" ht="13.8">
      <c r="R6247" s="10">
        <v>6219</v>
      </c>
    </row>
    <row r="6248" spans="18:18" ht="13.8">
      <c r="R6248" s="10">
        <v>6220</v>
      </c>
    </row>
    <row r="6249" spans="18:18" ht="13.8">
      <c r="R6249" s="10">
        <v>6221</v>
      </c>
    </row>
    <row r="6250" spans="18:18" ht="13.8">
      <c r="R6250" s="10">
        <v>6222</v>
      </c>
    </row>
    <row r="6251" spans="18:18" ht="13.8">
      <c r="R6251" s="10">
        <v>6223</v>
      </c>
    </row>
    <row r="6252" spans="18:18" ht="13.8">
      <c r="R6252" s="10">
        <v>6224</v>
      </c>
    </row>
    <row r="6253" spans="18:18" ht="13.8">
      <c r="R6253" s="10">
        <v>6225</v>
      </c>
    </row>
    <row r="6254" spans="18:18" ht="13.8">
      <c r="R6254" s="10">
        <v>6226</v>
      </c>
    </row>
    <row r="6255" spans="18:18" ht="13.8">
      <c r="R6255" s="10">
        <v>6227</v>
      </c>
    </row>
    <row r="6256" spans="18:18" ht="13.8">
      <c r="R6256" s="10">
        <v>6228</v>
      </c>
    </row>
    <row r="6257" spans="18:18" ht="13.8">
      <c r="R6257" s="10">
        <v>6229</v>
      </c>
    </row>
    <row r="6258" spans="18:18" ht="13.8">
      <c r="R6258" s="10">
        <v>6230</v>
      </c>
    </row>
    <row r="6259" spans="18:18" ht="13.8">
      <c r="R6259" s="10">
        <v>6231</v>
      </c>
    </row>
    <row r="6260" spans="18:18" ht="13.8">
      <c r="R6260" s="10">
        <v>6232</v>
      </c>
    </row>
    <row r="6261" spans="18:18" ht="13.8">
      <c r="R6261" s="10">
        <v>6233</v>
      </c>
    </row>
    <row r="6262" spans="18:18" ht="13.8">
      <c r="R6262" s="10">
        <v>6234</v>
      </c>
    </row>
    <row r="6263" spans="18:18" ht="13.8">
      <c r="R6263" s="10">
        <v>6235</v>
      </c>
    </row>
    <row r="6264" spans="18:18" ht="13.8">
      <c r="R6264" s="10">
        <v>6236</v>
      </c>
    </row>
    <row r="6265" spans="18:18" ht="13.8">
      <c r="R6265" s="10">
        <v>6237</v>
      </c>
    </row>
    <row r="6266" spans="18:18" ht="13.8">
      <c r="R6266" s="10">
        <v>6238</v>
      </c>
    </row>
    <row r="6267" spans="18:18" ht="13.8">
      <c r="R6267" s="10">
        <v>6239</v>
      </c>
    </row>
    <row r="6268" spans="18:18" ht="13.8">
      <c r="R6268" s="10">
        <v>6240</v>
      </c>
    </row>
    <row r="6269" spans="18:18" ht="13.8">
      <c r="R6269" s="10">
        <v>6241</v>
      </c>
    </row>
    <row r="6270" spans="18:18" ht="13.8">
      <c r="R6270" s="10">
        <v>6242</v>
      </c>
    </row>
    <row r="6271" spans="18:18" ht="13.8">
      <c r="R6271" s="10">
        <v>6243</v>
      </c>
    </row>
    <row r="6272" spans="18:18" ht="13.8">
      <c r="R6272" s="10">
        <v>6244</v>
      </c>
    </row>
    <row r="6273" spans="18:18" ht="13.8">
      <c r="R6273" s="10">
        <v>6245</v>
      </c>
    </row>
    <row r="6274" spans="18:18" ht="13.8">
      <c r="R6274" s="10">
        <v>6246</v>
      </c>
    </row>
    <row r="6275" spans="18:18" ht="13.8">
      <c r="R6275" s="10">
        <v>6247</v>
      </c>
    </row>
    <row r="6276" spans="18:18" ht="13.8">
      <c r="R6276" s="10">
        <v>6248</v>
      </c>
    </row>
    <row r="6277" spans="18:18" ht="13.8">
      <c r="R6277" s="10">
        <v>6249</v>
      </c>
    </row>
    <row r="6278" spans="18:18" ht="13.8">
      <c r="R6278" s="10">
        <v>6250</v>
      </c>
    </row>
    <row r="6279" spans="18:18" ht="13.8">
      <c r="R6279" s="10">
        <v>6251</v>
      </c>
    </row>
    <row r="6280" spans="18:18" ht="13.8">
      <c r="R6280" s="10">
        <v>6252</v>
      </c>
    </row>
    <row r="6281" spans="18:18" ht="13.8">
      <c r="R6281" s="10">
        <v>6253</v>
      </c>
    </row>
    <row r="6282" spans="18:18" ht="13.8">
      <c r="R6282" s="10">
        <v>6254</v>
      </c>
    </row>
    <row r="6283" spans="18:18" ht="13.8">
      <c r="R6283" s="10">
        <v>6255</v>
      </c>
    </row>
    <row r="6284" spans="18:18" ht="13.8">
      <c r="R6284" s="10">
        <v>6256</v>
      </c>
    </row>
    <row r="6285" spans="18:18" ht="13.8">
      <c r="R6285" s="10">
        <v>6257</v>
      </c>
    </row>
    <row r="6286" spans="18:18" ht="13.8">
      <c r="R6286" s="10">
        <v>6258</v>
      </c>
    </row>
    <row r="6287" spans="18:18" ht="13.8">
      <c r="R6287" s="10">
        <v>6259</v>
      </c>
    </row>
    <row r="6288" spans="18:18" ht="13.8">
      <c r="R6288" s="10">
        <v>6260</v>
      </c>
    </row>
    <row r="6289" spans="18:18" ht="13.8">
      <c r="R6289" s="10">
        <v>6261</v>
      </c>
    </row>
    <row r="6290" spans="18:18" ht="13.8">
      <c r="R6290" s="10">
        <v>6262</v>
      </c>
    </row>
    <row r="6291" spans="18:18" ht="13.8">
      <c r="R6291" s="10">
        <v>6263</v>
      </c>
    </row>
    <row r="6292" spans="18:18" ht="13.8">
      <c r="R6292" s="10">
        <v>6264</v>
      </c>
    </row>
    <row r="6293" spans="18:18" ht="13.8">
      <c r="R6293" s="10">
        <v>6265</v>
      </c>
    </row>
    <row r="6294" spans="18:18" ht="13.8">
      <c r="R6294" s="10">
        <v>6266</v>
      </c>
    </row>
    <row r="6295" spans="18:18" ht="13.8">
      <c r="R6295" s="10">
        <v>6267</v>
      </c>
    </row>
    <row r="6296" spans="18:18" ht="13.8">
      <c r="R6296" s="10">
        <v>6268</v>
      </c>
    </row>
    <row r="6297" spans="18:18" ht="13.8">
      <c r="R6297" s="10">
        <v>6269</v>
      </c>
    </row>
    <row r="6298" spans="18:18" ht="13.8">
      <c r="R6298" s="10">
        <v>6270</v>
      </c>
    </row>
    <row r="6299" spans="18:18" ht="13.8">
      <c r="R6299" s="10">
        <v>6271</v>
      </c>
    </row>
    <row r="6300" spans="18:18" ht="13.8">
      <c r="R6300" s="10">
        <v>6272</v>
      </c>
    </row>
    <row r="6301" spans="18:18" ht="13.8">
      <c r="R6301" s="10">
        <v>6273</v>
      </c>
    </row>
    <row r="6302" spans="18:18" ht="13.8">
      <c r="R6302" s="10">
        <v>6274</v>
      </c>
    </row>
    <row r="6303" spans="18:18" ht="13.8">
      <c r="R6303" s="10">
        <v>6275</v>
      </c>
    </row>
    <row r="6304" spans="18:18" ht="13.8">
      <c r="R6304" s="10">
        <v>6276</v>
      </c>
    </row>
    <row r="6305" spans="18:18" ht="13.8">
      <c r="R6305" s="10">
        <v>6277</v>
      </c>
    </row>
    <row r="6306" spans="18:18" ht="13.8">
      <c r="R6306" s="10">
        <v>6278</v>
      </c>
    </row>
    <row r="6307" spans="18:18" ht="13.8">
      <c r="R6307" s="10">
        <v>6279</v>
      </c>
    </row>
    <row r="6308" spans="18:18" ht="13.8">
      <c r="R6308" s="10">
        <v>6280</v>
      </c>
    </row>
    <row r="6309" spans="18:18" ht="13.8">
      <c r="R6309" s="10">
        <v>6281</v>
      </c>
    </row>
    <row r="6310" spans="18:18" ht="13.8">
      <c r="R6310" s="10">
        <v>6282</v>
      </c>
    </row>
    <row r="6311" spans="18:18" ht="13.8">
      <c r="R6311" s="10">
        <v>6283</v>
      </c>
    </row>
    <row r="6312" spans="18:18" ht="13.8">
      <c r="R6312" s="10">
        <v>6284</v>
      </c>
    </row>
    <row r="6313" spans="18:18" ht="13.8">
      <c r="R6313" s="10">
        <v>6285</v>
      </c>
    </row>
    <row r="6314" spans="18:18" ht="13.8">
      <c r="R6314" s="10">
        <v>6286</v>
      </c>
    </row>
    <row r="6315" spans="18:18" ht="13.8">
      <c r="R6315" s="10">
        <v>6287</v>
      </c>
    </row>
    <row r="6316" spans="18:18" ht="13.8">
      <c r="R6316" s="10">
        <v>6288</v>
      </c>
    </row>
    <row r="6317" spans="18:18" ht="13.8">
      <c r="R6317" s="10">
        <v>6289</v>
      </c>
    </row>
    <row r="6318" spans="18:18" ht="13.8">
      <c r="R6318" s="10">
        <v>6290</v>
      </c>
    </row>
    <row r="6319" spans="18:18" ht="13.8">
      <c r="R6319" s="10">
        <v>6291</v>
      </c>
    </row>
    <row r="6320" spans="18:18" ht="13.8">
      <c r="R6320" s="10">
        <v>6292</v>
      </c>
    </row>
    <row r="6321" spans="18:18" ht="13.8">
      <c r="R6321" s="10">
        <v>6293</v>
      </c>
    </row>
    <row r="6322" spans="18:18" ht="13.8">
      <c r="R6322" s="10">
        <v>6294</v>
      </c>
    </row>
    <row r="6323" spans="18:18" ht="13.8">
      <c r="R6323" s="10">
        <v>6295</v>
      </c>
    </row>
    <row r="6324" spans="18:18" ht="13.8">
      <c r="R6324" s="10">
        <v>6296</v>
      </c>
    </row>
    <row r="6325" spans="18:18" ht="13.8">
      <c r="R6325" s="10">
        <v>6297</v>
      </c>
    </row>
    <row r="6326" spans="18:18" ht="13.8">
      <c r="R6326" s="10">
        <v>6298</v>
      </c>
    </row>
    <row r="6327" spans="18:18" ht="13.8">
      <c r="R6327" s="10">
        <v>6299</v>
      </c>
    </row>
    <row r="6328" spans="18:18" ht="13.8">
      <c r="R6328" s="10">
        <v>6300</v>
      </c>
    </row>
    <row r="6329" spans="18:18" ht="13.8">
      <c r="R6329" s="10">
        <v>6301</v>
      </c>
    </row>
    <row r="6330" spans="18:18" ht="13.8">
      <c r="R6330" s="10">
        <v>6302</v>
      </c>
    </row>
    <row r="6331" spans="18:18" ht="13.8">
      <c r="R6331" s="10">
        <v>6303</v>
      </c>
    </row>
    <row r="6332" spans="18:18" ht="13.8">
      <c r="R6332" s="10">
        <v>6304</v>
      </c>
    </row>
    <row r="6333" spans="18:18" ht="13.8">
      <c r="R6333" s="10">
        <v>6305</v>
      </c>
    </row>
    <row r="6334" spans="18:18" ht="13.8">
      <c r="R6334" s="10">
        <v>6306</v>
      </c>
    </row>
    <row r="6335" spans="18:18" ht="13.8">
      <c r="R6335" s="10">
        <v>6307</v>
      </c>
    </row>
    <row r="6336" spans="18:18" ht="13.8">
      <c r="R6336" s="10">
        <v>6308</v>
      </c>
    </row>
    <row r="6337" spans="18:18" ht="13.8">
      <c r="R6337" s="10">
        <v>6309</v>
      </c>
    </row>
    <row r="6338" spans="18:18" ht="13.8">
      <c r="R6338" s="10">
        <v>6310</v>
      </c>
    </row>
    <row r="6339" spans="18:18" ht="13.8">
      <c r="R6339" s="10">
        <v>6311</v>
      </c>
    </row>
    <row r="6340" spans="18:18" ht="13.8">
      <c r="R6340" s="10">
        <v>6312</v>
      </c>
    </row>
    <row r="6341" spans="18:18" ht="13.8">
      <c r="R6341" s="10">
        <v>6313</v>
      </c>
    </row>
    <row r="6342" spans="18:18" ht="13.8">
      <c r="R6342" s="10">
        <v>6314</v>
      </c>
    </row>
    <row r="6343" spans="18:18" ht="13.8">
      <c r="R6343" s="10">
        <v>6315</v>
      </c>
    </row>
    <row r="6344" spans="18:18" ht="13.8">
      <c r="R6344" s="10">
        <v>6316</v>
      </c>
    </row>
    <row r="6345" spans="18:18" ht="13.8">
      <c r="R6345" s="10">
        <v>6317</v>
      </c>
    </row>
    <row r="6346" spans="18:18" ht="13.8">
      <c r="R6346" s="10">
        <v>6318</v>
      </c>
    </row>
    <row r="6347" spans="18:18" ht="13.8">
      <c r="R6347" s="10">
        <v>6319</v>
      </c>
    </row>
    <row r="6348" spans="18:18" ht="13.8">
      <c r="R6348" s="10">
        <v>6320</v>
      </c>
    </row>
    <row r="6349" spans="18:18" ht="13.8">
      <c r="R6349" s="10">
        <v>6321</v>
      </c>
    </row>
    <row r="6350" spans="18:18" ht="13.8">
      <c r="R6350" s="10">
        <v>6322</v>
      </c>
    </row>
    <row r="6351" spans="18:18" ht="13.8">
      <c r="R6351" s="10">
        <v>6323</v>
      </c>
    </row>
    <row r="6352" spans="18:18" ht="13.8">
      <c r="R6352" s="10">
        <v>6324</v>
      </c>
    </row>
    <row r="6353" spans="18:18" ht="13.8">
      <c r="R6353" s="10">
        <v>6325</v>
      </c>
    </row>
    <row r="6354" spans="18:18" ht="13.8">
      <c r="R6354" s="10">
        <v>6326</v>
      </c>
    </row>
    <row r="6355" spans="18:18" ht="13.8">
      <c r="R6355" s="10">
        <v>6327</v>
      </c>
    </row>
    <row r="6356" spans="18:18" ht="13.8">
      <c r="R6356" s="10">
        <v>6328</v>
      </c>
    </row>
    <row r="6357" spans="18:18" ht="13.8">
      <c r="R6357" s="10">
        <v>6329</v>
      </c>
    </row>
    <row r="6358" spans="18:18" ht="13.8">
      <c r="R6358" s="10">
        <v>6330</v>
      </c>
    </row>
    <row r="6359" spans="18:18" ht="13.8">
      <c r="R6359" s="10">
        <v>6331</v>
      </c>
    </row>
    <row r="6360" spans="18:18" ht="13.8">
      <c r="R6360" s="10">
        <v>6332</v>
      </c>
    </row>
    <row r="6361" spans="18:18" ht="13.8">
      <c r="R6361" s="10">
        <v>6333</v>
      </c>
    </row>
    <row r="6362" spans="18:18" ht="13.8">
      <c r="R6362" s="10">
        <v>6334</v>
      </c>
    </row>
    <row r="6363" spans="18:18" ht="13.8">
      <c r="R6363" s="10">
        <v>6335</v>
      </c>
    </row>
    <row r="6364" spans="18:18" ht="13.8">
      <c r="R6364" s="10">
        <v>6336</v>
      </c>
    </row>
    <row r="6365" spans="18:18" ht="13.8">
      <c r="R6365" s="10">
        <v>6337</v>
      </c>
    </row>
    <row r="6366" spans="18:18" ht="13.8">
      <c r="R6366" s="10">
        <v>6338</v>
      </c>
    </row>
    <row r="6367" spans="18:18" ht="13.8">
      <c r="R6367" s="10">
        <v>6339</v>
      </c>
    </row>
    <row r="6368" spans="18:18" ht="13.8">
      <c r="R6368" s="10">
        <v>6340</v>
      </c>
    </row>
    <row r="6369" spans="18:18" ht="13.8">
      <c r="R6369" s="10">
        <v>6341</v>
      </c>
    </row>
    <row r="6370" spans="18:18" ht="13.8">
      <c r="R6370" s="10">
        <v>6342</v>
      </c>
    </row>
    <row r="6371" spans="18:18" ht="13.8">
      <c r="R6371" s="10">
        <v>6343</v>
      </c>
    </row>
    <row r="6372" spans="18:18" ht="13.8">
      <c r="R6372" s="10">
        <v>6344</v>
      </c>
    </row>
    <row r="6373" spans="18:18" ht="13.8">
      <c r="R6373" s="10">
        <v>6345</v>
      </c>
    </row>
    <row r="6374" spans="18:18" ht="13.8">
      <c r="R6374" s="10">
        <v>6346</v>
      </c>
    </row>
    <row r="6375" spans="18:18" ht="13.8">
      <c r="R6375" s="10">
        <v>6347</v>
      </c>
    </row>
    <row r="6376" spans="18:18" ht="13.8">
      <c r="R6376" s="10">
        <v>6348</v>
      </c>
    </row>
    <row r="6377" spans="18:18" ht="13.8">
      <c r="R6377" s="10">
        <v>6349</v>
      </c>
    </row>
    <row r="6378" spans="18:18" ht="13.8">
      <c r="R6378" s="10">
        <v>6350</v>
      </c>
    </row>
    <row r="6379" spans="18:18" ht="13.8">
      <c r="R6379" s="10">
        <v>6351</v>
      </c>
    </row>
    <row r="6380" spans="18:18" ht="13.8">
      <c r="R6380" s="10">
        <v>6352</v>
      </c>
    </row>
    <row r="6381" spans="18:18" ht="13.8">
      <c r="R6381" s="10">
        <v>6353</v>
      </c>
    </row>
    <row r="6382" spans="18:18" ht="13.8">
      <c r="R6382" s="10">
        <v>6354</v>
      </c>
    </row>
    <row r="6383" spans="18:18" ht="13.8">
      <c r="R6383" s="10">
        <v>6355</v>
      </c>
    </row>
    <row r="6384" spans="18:18" ht="13.8">
      <c r="R6384" s="10">
        <v>6356</v>
      </c>
    </row>
    <row r="6385" spans="18:18" ht="13.8">
      <c r="R6385" s="10">
        <v>6357</v>
      </c>
    </row>
    <row r="6386" spans="18:18" ht="13.8">
      <c r="R6386" s="10">
        <v>6358</v>
      </c>
    </row>
    <row r="6387" spans="18:18" ht="13.8">
      <c r="R6387" s="10">
        <v>6359</v>
      </c>
    </row>
    <row r="6388" spans="18:18" ht="13.8">
      <c r="R6388" s="10">
        <v>6360</v>
      </c>
    </row>
    <row r="6389" spans="18:18" ht="13.8">
      <c r="R6389" s="10">
        <v>6361</v>
      </c>
    </row>
    <row r="6390" spans="18:18" ht="13.8">
      <c r="R6390" s="10">
        <v>6362</v>
      </c>
    </row>
    <row r="6391" spans="18:18" ht="13.8">
      <c r="R6391" s="10">
        <v>6363</v>
      </c>
    </row>
    <row r="6392" spans="18:18" ht="13.8">
      <c r="R6392" s="10">
        <v>6364</v>
      </c>
    </row>
    <row r="6393" spans="18:18" ht="13.8">
      <c r="R6393" s="10">
        <v>6365</v>
      </c>
    </row>
    <row r="6394" spans="18:18" ht="13.8">
      <c r="R6394" s="10">
        <v>6366</v>
      </c>
    </row>
    <row r="6395" spans="18:18" ht="13.8">
      <c r="R6395" s="10">
        <v>6367</v>
      </c>
    </row>
    <row r="6396" spans="18:18" ht="13.8">
      <c r="R6396" s="10">
        <v>6368</v>
      </c>
    </row>
    <row r="6397" spans="18:18" ht="13.8">
      <c r="R6397" s="10">
        <v>6369</v>
      </c>
    </row>
    <row r="6398" spans="18:18" ht="13.8">
      <c r="R6398" s="10">
        <v>6370</v>
      </c>
    </row>
    <row r="6399" spans="18:18" ht="13.8">
      <c r="R6399" s="10">
        <v>6371</v>
      </c>
    </row>
    <row r="6400" spans="18:18" ht="13.8">
      <c r="R6400" s="10">
        <v>6372</v>
      </c>
    </row>
    <row r="6401" spans="18:18" ht="13.8">
      <c r="R6401" s="10">
        <v>6373</v>
      </c>
    </row>
    <row r="6402" spans="18:18" ht="13.8">
      <c r="R6402" s="10">
        <v>6374</v>
      </c>
    </row>
    <row r="6403" spans="18:18" ht="13.8">
      <c r="R6403" s="10">
        <v>6375</v>
      </c>
    </row>
    <row r="6404" spans="18:18" ht="13.8">
      <c r="R6404" s="10">
        <v>6376</v>
      </c>
    </row>
    <row r="6405" spans="18:18" ht="13.8">
      <c r="R6405" s="10">
        <v>6377</v>
      </c>
    </row>
    <row r="6406" spans="18:18" ht="13.8">
      <c r="R6406" s="10">
        <v>6378</v>
      </c>
    </row>
    <row r="6407" spans="18:18" ht="13.8">
      <c r="R6407" s="10">
        <v>6379</v>
      </c>
    </row>
    <row r="6408" spans="18:18" ht="13.8">
      <c r="R6408" s="10">
        <v>6380</v>
      </c>
    </row>
    <row r="6409" spans="18:18" ht="13.8">
      <c r="R6409" s="10">
        <v>6381</v>
      </c>
    </row>
    <row r="6410" spans="18:18" ht="13.8">
      <c r="R6410" s="10">
        <v>6382</v>
      </c>
    </row>
    <row r="6411" spans="18:18" ht="13.8">
      <c r="R6411" s="10">
        <v>6383</v>
      </c>
    </row>
    <row r="6412" spans="18:18" ht="13.8">
      <c r="R6412" s="10">
        <v>6384</v>
      </c>
    </row>
    <row r="6413" spans="18:18" ht="13.8">
      <c r="R6413" s="10">
        <v>6385</v>
      </c>
    </row>
    <row r="6414" spans="18:18" ht="13.8">
      <c r="R6414" s="10">
        <v>6386</v>
      </c>
    </row>
    <row r="6415" spans="18:18" ht="13.8">
      <c r="R6415" s="10">
        <v>6387</v>
      </c>
    </row>
    <row r="6416" spans="18:18" ht="13.8">
      <c r="R6416" s="10">
        <v>6388</v>
      </c>
    </row>
    <row r="6417" spans="18:18" ht="13.8">
      <c r="R6417" s="10">
        <v>6389</v>
      </c>
    </row>
    <row r="6418" spans="18:18" ht="13.8">
      <c r="R6418" s="10">
        <v>6390</v>
      </c>
    </row>
    <row r="6419" spans="18:18" ht="13.8">
      <c r="R6419" s="10">
        <v>6391</v>
      </c>
    </row>
    <row r="6420" spans="18:18" ht="13.8">
      <c r="R6420" s="10">
        <v>6392</v>
      </c>
    </row>
    <row r="6421" spans="18:18" ht="13.8">
      <c r="R6421" s="10">
        <v>6393</v>
      </c>
    </row>
    <row r="6422" spans="18:18" ht="13.8">
      <c r="R6422" s="10">
        <v>6394</v>
      </c>
    </row>
    <row r="6423" spans="18:18" ht="13.8">
      <c r="R6423" s="10">
        <v>6395</v>
      </c>
    </row>
    <row r="6424" spans="18:18" ht="13.8">
      <c r="R6424" s="10">
        <v>6396</v>
      </c>
    </row>
    <row r="6425" spans="18:18" ht="13.8">
      <c r="R6425" s="10">
        <v>6397</v>
      </c>
    </row>
    <row r="6426" spans="18:18" ht="13.8">
      <c r="R6426" s="10">
        <v>6398</v>
      </c>
    </row>
    <row r="6427" spans="18:18" ht="13.8">
      <c r="R6427" s="10">
        <v>6399</v>
      </c>
    </row>
    <row r="6428" spans="18:18" ht="13.8">
      <c r="R6428" s="10">
        <v>6400</v>
      </c>
    </row>
    <row r="6429" spans="18:18" ht="13.8">
      <c r="R6429" s="10">
        <v>6401</v>
      </c>
    </row>
    <row r="6430" spans="18:18" ht="13.8">
      <c r="R6430" s="10">
        <v>6402</v>
      </c>
    </row>
    <row r="6431" spans="18:18" ht="13.8">
      <c r="R6431" s="10">
        <v>6403</v>
      </c>
    </row>
    <row r="6432" spans="18:18" ht="13.8">
      <c r="R6432" s="10">
        <v>6404</v>
      </c>
    </row>
    <row r="6433" spans="18:18" ht="13.8">
      <c r="R6433" s="10">
        <v>6405</v>
      </c>
    </row>
    <row r="6434" spans="18:18" ht="13.8">
      <c r="R6434" s="10">
        <v>6406</v>
      </c>
    </row>
    <row r="6435" spans="18:18" ht="13.8">
      <c r="R6435" s="10">
        <v>6407</v>
      </c>
    </row>
    <row r="6436" spans="18:18" ht="13.8">
      <c r="R6436" s="10">
        <v>6408</v>
      </c>
    </row>
    <row r="6437" spans="18:18" ht="13.8">
      <c r="R6437" s="10">
        <v>6409</v>
      </c>
    </row>
    <row r="6438" spans="18:18" ht="13.8">
      <c r="R6438" s="10">
        <v>6410</v>
      </c>
    </row>
    <row r="6439" spans="18:18" ht="13.8">
      <c r="R6439" s="10">
        <v>6411</v>
      </c>
    </row>
    <row r="6440" spans="18:18" ht="13.8">
      <c r="R6440" s="10">
        <v>6412</v>
      </c>
    </row>
    <row r="6441" spans="18:18" ht="13.8">
      <c r="R6441" s="10">
        <v>6413</v>
      </c>
    </row>
    <row r="6442" spans="18:18" ht="13.8">
      <c r="R6442" s="10">
        <v>6414</v>
      </c>
    </row>
    <row r="6443" spans="18:18" ht="13.8">
      <c r="R6443" s="10">
        <v>6415</v>
      </c>
    </row>
    <row r="6444" spans="18:18" ht="13.8">
      <c r="R6444" s="10">
        <v>6416</v>
      </c>
    </row>
    <row r="6445" spans="18:18" ht="13.8">
      <c r="R6445" s="10">
        <v>6417</v>
      </c>
    </row>
    <row r="6446" spans="18:18" ht="13.8">
      <c r="R6446" s="10">
        <v>6418</v>
      </c>
    </row>
    <row r="6447" spans="18:18" ht="13.8">
      <c r="R6447" s="10">
        <v>6419</v>
      </c>
    </row>
    <row r="6448" spans="18:18" ht="13.8">
      <c r="R6448" s="10">
        <v>6420</v>
      </c>
    </row>
    <row r="6449" spans="18:18" ht="13.8">
      <c r="R6449" s="10">
        <v>6421</v>
      </c>
    </row>
    <row r="6450" spans="18:18" ht="13.8">
      <c r="R6450" s="10">
        <v>6422</v>
      </c>
    </row>
    <row r="6451" spans="18:18" ht="13.8">
      <c r="R6451" s="10">
        <v>6423</v>
      </c>
    </row>
    <row r="6452" spans="18:18" ht="13.8">
      <c r="R6452" s="10">
        <v>6424</v>
      </c>
    </row>
    <row r="6453" spans="18:18" ht="13.8">
      <c r="R6453" s="10">
        <v>6425</v>
      </c>
    </row>
    <row r="6454" spans="18:18" ht="13.8">
      <c r="R6454" s="10">
        <v>6426</v>
      </c>
    </row>
    <row r="6455" spans="18:18" ht="13.8">
      <c r="R6455" s="10">
        <v>6427</v>
      </c>
    </row>
    <row r="6456" spans="18:18" ht="13.8">
      <c r="R6456" s="10">
        <v>6428</v>
      </c>
    </row>
    <row r="6457" spans="18:18" ht="13.8">
      <c r="R6457" s="10">
        <v>6429</v>
      </c>
    </row>
    <row r="6458" spans="18:18" ht="13.8">
      <c r="R6458" s="10">
        <v>6430</v>
      </c>
    </row>
    <row r="6459" spans="18:18" ht="13.8">
      <c r="R6459" s="10">
        <v>6431</v>
      </c>
    </row>
    <row r="6460" spans="18:18" ht="13.8">
      <c r="R6460" s="10">
        <v>6432</v>
      </c>
    </row>
    <row r="6461" spans="18:18" ht="13.8">
      <c r="R6461" s="10">
        <v>6433</v>
      </c>
    </row>
    <row r="6462" spans="18:18" ht="13.8">
      <c r="R6462" s="10">
        <v>6434</v>
      </c>
    </row>
    <row r="6463" spans="18:18" ht="13.8">
      <c r="R6463" s="10">
        <v>6435</v>
      </c>
    </row>
    <row r="6464" spans="18:18" ht="13.8">
      <c r="R6464" s="10">
        <v>6436</v>
      </c>
    </row>
    <row r="6465" spans="18:18" ht="13.8">
      <c r="R6465" s="10">
        <v>6437</v>
      </c>
    </row>
    <row r="6466" spans="18:18" ht="13.8">
      <c r="R6466" s="10">
        <v>6438</v>
      </c>
    </row>
    <row r="6467" spans="18:18" ht="13.8">
      <c r="R6467" s="10">
        <v>6439</v>
      </c>
    </row>
    <row r="6468" spans="18:18" ht="13.8">
      <c r="R6468" s="10">
        <v>6440</v>
      </c>
    </row>
    <row r="6469" spans="18:18" ht="13.8">
      <c r="R6469" s="10">
        <v>6441</v>
      </c>
    </row>
    <row r="6470" spans="18:18" ht="13.8">
      <c r="R6470" s="10">
        <v>6442</v>
      </c>
    </row>
    <row r="6471" spans="18:18" ht="13.8">
      <c r="R6471" s="10">
        <v>6443</v>
      </c>
    </row>
    <row r="6472" spans="18:18" ht="13.8">
      <c r="R6472" s="10">
        <v>6444</v>
      </c>
    </row>
    <row r="6473" spans="18:18" ht="13.8">
      <c r="R6473" s="10">
        <v>6445</v>
      </c>
    </row>
    <row r="6474" spans="18:18" ht="13.8">
      <c r="R6474" s="10">
        <v>6446</v>
      </c>
    </row>
    <row r="6475" spans="18:18" ht="13.8">
      <c r="R6475" s="10">
        <v>6447</v>
      </c>
    </row>
    <row r="6476" spans="18:18" ht="13.8">
      <c r="R6476" s="10">
        <v>6448</v>
      </c>
    </row>
    <row r="6477" spans="18:18" ht="13.8">
      <c r="R6477" s="10">
        <v>6449</v>
      </c>
    </row>
    <row r="6478" spans="18:18" ht="13.8">
      <c r="R6478" s="10">
        <v>6450</v>
      </c>
    </row>
    <row r="6479" spans="18:18" ht="13.8">
      <c r="R6479" s="10">
        <v>6451</v>
      </c>
    </row>
    <row r="6480" spans="18:18" ht="13.8">
      <c r="R6480" s="10">
        <v>6452</v>
      </c>
    </row>
    <row r="6481" spans="18:18" ht="13.8">
      <c r="R6481" s="10">
        <v>6453</v>
      </c>
    </row>
    <row r="6482" spans="18:18" ht="13.8">
      <c r="R6482" s="10">
        <v>6454</v>
      </c>
    </row>
    <row r="6483" spans="18:18" ht="13.8">
      <c r="R6483" s="10">
        <v>6455</v>
      </c>
    </row>
    <row r="6484" spans="18:18" ht="13.8">
      <c r="R6484" s="10">
        <v>6456</v>
      </c>
    </row>
    <row r="6485" spans="18:18" ht="13.8">
      <c r="R6485" s="10">
        <v>6457</v>
      </c>
    </row>
    <row r="6486" spans="18:18" ht="13.8">
      <c r="R6486" s="10">
        <v>6458</v>
      </c>
    </row>
    <row r="6487" spans="18:18" ht="13.8">
      <c r="R6487" s="10">
        <v>6459</v>
      </c>
    </row>
    <row r="6488" spans="18:18" ht="13.8">
      <c r="R6488" s="10">
        <v>6460</v>
      </c>
    </row>
    <row r="6489" spans="18:18" ht="13.8">
      <c r="R6489" s="10">
        <v>6461</v>
      </c>
    </row>
    <row r="6490" spans="18:18" ht="13.8">
      <c r="R6490" s="10">
        <v>6462</v>
      </c>
    </row>
    <row r="6491" spans="18:18" ht="13.8">
      <c r="R6491" s="10">
        <v>6463</v>
      </c>
    </row>
    <row r="6492" spans="18:18" ht="13.8">
      <c r="R6492" s="10">
        <v>6464</v>
      </c>
    </row>
    <row r="6493" spans="18:18" ht="13.8">
      <c r="R6493" s="10">
        <v>6465</v>
      </c>
    </row>
    <row r="6494" spans="18:18" ht="13.8">
      <c r="R6494" s="10">
        <v>6466</v>
      </c>
    </row>
    <row r="6495" spans="18:18" ht="13.8">
      <c r="R6495" s="10">
        <v>6467</v>
      </c>
    </row>
    <row r="6496" spans="18:18" ht="13.8">
      <c r="R6496" s="10">
        <v>6468</v>
      </c>
    </row>
    <row r="6497" spans="18:18" ht="13.8">
      <c r="R6497" s="10">
        <v>6469</v>
      </c>
    </row>
    <row r="6498" spans="18:18" ht="13.8">
      <c r="R6498" s="10">
        <v>6470</v>
      </c>
    </row>
    <row r="6499" spans="18:18" ht="13.8">
      <c r="R6499" s="10">
        <v>6471</v>
      </c>
    </row>
    <row r="6500" spans="18:18" ht="13.8">
      <c r="R6500" s="10">
        <v>6472</v>
      </c>
    </row>
    <row r="6501" spans="18:18" ht="13.8">
      <c r="R6501" s="10">
        <v>6473</v>
      </c>
    </row>
    <row r="6502" spans="18:18" ht="13.8">
      <c r="R6502" s="10">
        <v>6474</v>
      </c>
    </row>
    <row r="6503" spans="18:18" ht="13.8">
      <c r="R6503" s="10">
        <v>6475</v>
      </c>
    </row>
    <row r="6504" spans="18:18" ht="13.8">
      <c r="R6504" s="10">
        <v>6476</v>
      </c>
    </row>
    <row r="6505" spans="18:18" ht="13.8">
      <c r="R6505" s="10">
        <v>6477</v>
      </c>
    </row>
    <row r="6506" spans="18:18" ht="13.8">
      <c r="R6506" s="10">
        <v>6478</v>
      </c>
    </row>
    <row r="6507" spans="18:18" ht="13.8">
      <c r="R6507" s="10">
        <v>6479</v>
      </c>
    </row>
    <row r="6508" spans="18:18" ht="13.8">
      <c r="R6508" s="10">
        <v>6480</v>
      </c>
    </row>
    <row r="6509" spans="18:18" ht="13.8">
      <c r="R6509" s="10">
        <v>6481</v>
      </c>
    </row>
    <row r="6510" spans="18:18" ht="13.8">
      <c r="R6510" s="10">
        <v>6482</v>
      </c>
    </row>
    <row r="6511" spans="18:18" ht="13.8">
      <c r="R6511" s="10">
        <v>6483</v>
      </c>
    </row>
    <row r="6512" spans="18:18" ht="13.8">
      <c r="R6512" s="10">
        <v>6484</v>
      </c>
    </row>
    <row r="6513" spans="18:18" ht="13.8">
      <c r="R6513" s="10">
        <v>6485</v>
      </c>
    </row>
    <row r="6514" spans="18:18" ht="13.8">
      <c r="R6514" s="10">
        <v>6486</v>
      </c>
    </row>
    <row r="6515" spans="18:18" ht="13.8">
      <c r="R6515" s="10">
        <v>6487</v>
      </c>
    </row>
    <row r="6516" spans="18:18" ht="13.8">
      <c r="R6516" s="10">
        <v>6488</v>
      </c>
    </row>
    <row r="6517" spans="18:18" ht="13.8">
      <c r="R6517" s="10">
        <v>6489</v>
      </c>
    </row>
    <row r="6518" spans="18:18" ht="13.8">
      <c r="R6518" s="10">
        <v>6490</v>
      </c>
    </row>
    <row r="6519" spans="18:18" ht="13.8">
      <c r="R6519" s="10">
        <v>6491</v>
      </c>
    </row>
    <row r="6520" spans="18:18" ht="13.8">
      <c r="R6520" s="10">
        <v>6492</v>
      </c>
    </row>
    <row r="6521" spans="18:18" ht="13.8">
      <c r="R6521" s="10">
        <v>6493</v>
      </c>
    </row>
    <row r="6522" spans="18:18" ht="13.8">
      <c r="R6522" s="10">
        <v>6494</v>
      </c>
    </row>
    <row r="6523" spans="18:18" ht="13.8">
      <c r="R6523" s="10">
        <v>6495</v>
      </c>
    </row>
    <row r="6524" spans="18:18" ht="13.8">
      <c r="R6524" s="10">
        <v>6496</v>
      </c>
    </row>
    <row r="6525" spans="18:18" ht="13.8">
      <c r="R6525" s="10">
        <v>6497</v>
      </c>
    </row>
    <row r="6526" spans="18:18" ht="13.8">
      <c r="R6526" s="10">
        <v>6498</v>
      </c>
    </row>
    <row r="6527" spans="18:18" ht="13.8">
      <c r="R6527" s="10">
        <v>6499</v>
      </c>
    </row>
    <row r="6528" spans="18:18" ht="13.8">
      <c r="R6528" s="10">
        <v>6500</v>
      </c>
    </row>
    <row r="6529" spans="18:18" ht="13.8">
      <c r="R6529" s="10">
        <v>6501</v>
      </c>
    </row>
    <row r="6530" spans="18:18" ht="13.8">
      <c r="R6530" s="10">
        <v>6502</v>
      </c>
    </row>
    <row r="6531" spans="18:18" ht="13.8">
      <c r="R6531" s="10">
        <v>6503</v>
      </c>
    </row>
    <row r="6532" spans="18:18" ht="13.8">
      <c r="R6532" s="10">
        <v>6504</v>
      </c>
    </row>
    <row r="6533" spans="18:18" ht="13.8">
      <c r="R6533" s="10">
        <v>6505</v>
      </c>
    </row>
    <row r="6534" spans="18:18" ht="13.8">
      <c r="R6534" s="10">
        <v>6506</v>
      </c>
    </row>
    <row r="6535" spans="18:18" ht="13.8">
      <c r="R6535" s="10">
        <v>6507</v>
      </c>
    </row>
    <row r="6536" spans="18:18" ht="13.8">
      <c r="R6536" s="10">
        <v>6508</v>
      </c>
    </row>
    <row r="6537" spans="18:18" ht="13.8">
      <c r="R6537" s="10">
        <v>6509</v>
      </c>
    </row>
    <row r="6538" spans="18:18" ht="13.8">
      <c r="R6538" s="10">
        <v>6510</v>
      </c>
    </row>
    <row r="6539" spans="18:18" ht="13.8">
      <c r="R6539" s="10">
        <v>6511</v>
      </c>
    </row>
    <row r="6540" spans="18:18" ht="13.8">
      <c r="R6540" s="10">
        <v>6512</v>
      </c>
    </row>
    <row r="6541" spans="18:18" ht="13.8">
      <c r="R6541" s="10">
        <v>6513</v>
      </c>
    </row>
    <row r="6542" spans="18:18" ht="13.8">
      <c r="R6542" s="10">
        <v>6514</v>
      </c>
    </row>
    <row r="6543" spans="18:18" ht="13.8">
      <c r="R6543" s="10">
        <v>6515</v>
      </c>
    </row>
    <row r="6544" spans="18:18" ht="13.8">
      <c r="R6544" s="10">
        <v>6516</v>
      </c>
    </row>
    <row r="6545" spans="18:18" ht="13.8">
      <c r="R6545" s="10">
        <v>6517</v>
      </c>
    </row>
    <row r="6546" spans="18:18" ht="13.8">
      <c r="R6546" s="10">
        <v>6518</v>
      </c>
    </row>
    <row r="6547" spans="18:18" ht="13.8">
      <c r="R6547" s="10">
        <v>6519</v>
      </c>
    </row>
    <row r="6548" spans="18:18" ht="13.8">
      <c r="R6548" s="10">
        <v>6520</v>
      </c>
    </row>
    <row r="6549" spans="18:18" ht="13.8">
      <c r="R6549" s="10">
        <v>6521</v>
      </c>
    </row>
    <row r="6550" spans="18:18" ht="13.8">
      <c r="R6550" s="10">
        <v>6522</v>
      </c>
    </row>
    <row r="6551" spans="18:18" ht="13.8">
      <c r="R6551" s="10">
        <v>6523</v>
      </c>
    </row>
    <row r="6552" spans="18:18" ht="13.8">
      <c r="R6552" s="10">
        <v>6524</v>
      </c>
    </row>
    <row r="6553" spans="18:18" ht="13.8">
      <c r="R6553" s="10">
        <v>6525</v>
      </c>
    </row>
    <row r="6554" spans="18:18" ht="13.8">
      <c r="R6554" s="10">
        <v>6526</v>
      </c>
    </row>
    <row r="6555" spans="18:18" ht="13.8">
      <c r="R6555" s="10">
        <v>6527</v>
      </c>
    </row>
    <row r="6556" spans="18:18" ht="13.8">
      <c r="R6556" s="10">
        <v>6528</v>
      </c>
    </row>
    <row r="6557" spans="18:18" ht="13.8">
      <c r="R6557" s="10">
        <v>6529</v>
      </c>
    </row>
    <row r="6558" spans="18:18" ht="13.8">
      <c r="R6558" s="10">
        <v>6530</v>
      </c>
    </row>
    <row r="6559" spans="18:18" ht="13.8">
      <c r="R6559" s="10">
        <v>6531</v>
      </c>
    </row>
    <row r="6560" spans="18:18" ht="13.8">
      <c r="R6560" s="10">
        <v>6532</v>
      </c>
    </row>
    <row r="6561" spans="18:18" ht="13.8">
      <c r="R6561" s="10">
        <v>6533</v>
      </c>
    </row>
    <row r="6562" spans="18:18" ht="13.8">
      <c r="R6562" s="10">
        <v>6534</v>
      </c>
    </row>
    <row r="6563" spans="18:18" ht="13.8">
      <c r="R6563" s="10">
        <v>6535</v>
      </c>
    </row>
    <row r="6564" spans="18:18" ht="13.8">
      <c r="R6564" s="10">
        <v>6536</v>
      </c>
    </row>
    <row r="6565" spans="18:18" ht="13.8">
      <c r="R6565" s="10">
        <v>6537</v>
      </c>
    </row>
    <row r="6566" spans="18:18" ht="13.8">
      <c r="R6566" s="10">
        <v>6538</v>
      </c>
    </row>
    <row r="6567" spans="18:18" ht="13.8">
      <c r="R6567" s="10">
        <v>6539</v>
      </c>
    </row>
    <row r="6568" spans="18:18" ht="13.8">
      <c r="R6568" s="10">
        <v>6540</v>
      </c>
    </row>
    <row r="6569" spans="18:18" ht="13.8">
      <c r="R6569" s="10">
        <v>6541</v>
      </c>
    </row>
    <row r="6570" spans="18:18" ht="13.8">
      <c r="R6570" s="10">
        <v>6542</v>
      </c>
    </row>
    <row r="6571" spans="18:18" ht="13.8">
      <c r="R6571" s="10">
        <v>6543</v>
      </c>
    </row>
    <row r="6572" spans="18:18" ht="13.8">
      <c r="R6572" s="10">
        <v>6544</v>
      </c>
    </row>
    <row r="6573" spans="18:18" ht="13.8">
      <c r="R6573" s="10">
        <v>6545</v>
      </c>
    </row>
    <row r="6574" spans="18:18" ht="13.8">
      <c r="R6574" s="10">
        <v>6546</v>
      </c>
    </row>
    <row r="6575" spans="18:18" ht="13.8">
      <c r="R6575" s="10">
        <v>6547</v>
      </c>
    </row>
    <row r="6576" spans="18:18" ht="13.8">
      <c r="R6576" s="10">
        <v>6548</v>
      </c>
    </row>
    <row r="6577" spans="18:18" ht="13.8">
      <c r="R6577" s="10">
        <v>6549</v>
      </c>
    </row>
    <row r="6578" spans="18:18" ht="13.8">
      <c r="R6578" s="10">
        <v>6550</v>
      </c>
    </row>
    <row r="6579" spans="18:18" ht="13.8">
      <c r="R6579" s="10">
        <v>6551</v>
      </c>
    </row>
    <row r="6580" spans="18:18" ht="13.8">
      <c r="R6580" s="10">
        <v>6552</v>
      </c>
    </row>
    <row r="6581" spans="18:18" ht="13.8">
      <c r="R6581" s="10">
        <v>6553</v>
      </c>
    </row>
    <row r="6582" spans="18:18" ht="13.8">
      <c r="R6582" s="10">
        <v>6554</v>
      </c>
    </row>
    <row r="6583" spans="18:18" ht="13.8">
      <c r="R6583" s="10">
        <v>6555</v>
      </c>
    </row>
    <row r="6584" spans="18:18" ht="13.8">
      <c r="R6584" s="10">
        <v>6556</v>
      </c>
    </row>
    <row r="6585" spans="18:18" ht="13.8">
      <c r="R6585" s="10">
        <v>6557</v>
      </c>
    </row>
    <row r="6586" spans="18:18" ht="13.8">
      <c r="R6586" s="10">
        <v>6558</v>
      </c>
    </row>
    <row r="6587" spans="18:18" ht="13.8">
      <c r="R6587" s="10">
        <v>6559</v>
      </c>
    </row>
    <row r="6588" spans="18:18" ht="13.8">
      <c r="R6588" s="10">
        <v>6560</v>
      </c>
    </row>
    <row r="6589" spans="18:18" ht="13.8">
      <c r="R6589" s="10">
        <v>6561</v>
      </c>
    </row>
    <row r="6590" spans="18:18" ht="13.8">
      <c r="R6590" s="10">
        <v>6562</v>
      </c>
    </row>
    <row r="6591" spans="18:18" ht="13.8">
      <c r="R6591" s="10">
        <v>6563</v>
      </c>
    </row>
    <row r="6592" spans="18:18" ht="13.8">
      <c r="R6592" s="10">
        <v>6564</v>
      </c>
    </row>
    <row r="6593" spans="18:18" ht="13.8">
      <c r="R6593" s="10">
        <v>6565</v>
      </c>
    </row>
    <row r="6594" spans="18:18" ht="13.8">
      <c r="R6594" s="10">
        <v>6566</v>
      </c>
    </row>
    <row r="6595" spans="18:18" ht="13.8">
      <c r="R6595" s="10">
        <v>6567</v>
      </c>
    </row>
    <row r="6596" spans="18:18" ht="13.8">
      <c r="R6596" s="10">
        <v>6568</v>
      </c>
    </row>
    <row r="6597" spans="18:18" ht="13.8">
      <c r="R6597" s="10">
        <v>6569</v>
      </c>
    </row>
    <row r="6598" spans="18:18" ht="13.8">
      <c r="R6598" s="10">
        <v>6570</v>
      </c>
    </row>
    <row r="6599" spans="18:18" ht="13.8">
      <c r="R6599" s="10">
        <v>6571</v>
      </c>
    </row>
    <row r="6600" spans="18:18" ht="13.8">
      <c r="R6600" s="10">
        <v>6572</v>
      </c>
    </row>
    <row r="6601" spans="18:18" ht="13.8">
      <c r="R6601" s="10">
        <v>6573</v>
      </c>
    </row>
    <row r="6602" spans="18:18" ht="13.8">
      <c r="R6602" s="10">
        <v>6574</v>
      </c>
    </row>
    <row r="6603" spans="18:18" ht="13.8">
      <c r="R6603" s="10">
        <v>6575</v>
      </c>
    </row>
    <row r="6604" spans="18:18" ht="13.8">
      <c r="R6604" s="10">
        <v>6576</v>
      </c>
    </row>
    <row r="6605" spans="18:18" ht="13.8">
      <c r="R6605" s="10">
        <v>6577</v>
      </c>
    </row>
    <row r="6606" spans="18:18" ht="13.8">
      <c r="R6606" s="10">
        <v>6578</v>
      </c>
    </row>
    <row r="6607" spans="18:18" ht="13.8">
      <c r="R6607" s="10">
        <v>6579</v>
      </c>
    </row>
    <row r="6608" spans="18:18" ht="13.8">
      <c r="R6608" s="10">
        <v>6580</v>
      </c>
    </row>
    <row r="6609" spans="18:18" ht="13.8">
      <c r="R6609" s="10">
        <v>6581</v>
      </c>
    </row>
    <row r="6610" spans="18:18" ht="13.8">
      <c r="R6610" s="10">
        <v>6582</v>
      </c>
    </row>
    <row r="6611" spans="18:18" ht="13.8">
      <c r="R6611" s="10">
        <v>6583</v>
      </c>
    </row>
    <row r="6612" spans="18:18" ht="13.8">
      <c r="R6612" s="10">
        <v>6584</v>
      </c>
    </row>
    <row r="6613" spans="18:18" ht="13.8">
      <c r="R6613" s="10">
        <v>6585</v>
      </c>
    </row>
    <row r="6614" spans="18:18" ht="13.8">
      <c r="R6614" s="10">
        <v>6586</v>
      </c>
    </row>
    <row r="6615" spans="18:18" ht="13.8">
      <c r="R6615" s="10">
        <v>6587</v>
      </c>
    </row>
    <row r="6616" spans="18:18" ht="13.8">
      <c r="R6616" s="10">
        <v>6588</v>
      </c>
    </row>
    <row r="6617" spans="18:18" ht="13.8">
      <c r="R6617" s="10">
        <v>6589</v>
      </c>
    </row>
    <row r="6618" spans="18:18" ht="13.8">
      <c r="R6618" s="10">
        <v>6590</v>
      </c>
    </row>
    <row r="6619" spans="18:18" ht="13.8">
      <c r="R6619" s="10">
        <v>6591</v>
      </c>
    </row>
    <row r="6620" spans="18:18" ht="13.8">
      <c r="R6620" s="10">
        <v>6592</v>
      </c>
    </row>
    <row r="6621" spans="18:18" ht="13.8">
      <c r="R6621" s="10">
        <v>6593</v>
      </c>
    </row>
    <row r="6622" spans="18:18" ht="13.8">
      <c r="R6622" s="10">
        <v>6594</v>
      </c>
    </row>
    <row r="6623" spans="18:18" ht="13.8">
      <c r="R6623" s="10">
        <v>6595</v>
      </c>
    </row>
    <row r="6624" spans="18:18" ht="13.8">
      <c r="R6624" s="10">
        <v>6596</v>
      </c>
    </row>
    <row r="6625" spans="18:18" ht="13.8">
      <c r="R6625" s="10">
        <v>6597</v>
      </c>
    </row>
    <row r="6626" spans="18:18" ht="13.8">
      <c r="R6626" s="10">
        <v>6598</v>
      </c>
    </row>
    <row r="6627" spans="18:18" ht="13.8">
      <c r="R6627" s="10">
        <v>6599</v>
      </c>
    </row>
    <row r="6628" spans="18:18" ht="13.8">
      <c r="R6628" s="10">
        <v>6600</v>
      </c>
    </row>
    <row r="6629" spans="18:18" ht="13.8">
      <c r="R6629" s="10">
        <v>6601</v>
      </c>
    </row>
    <row r="6630" spans="18:18" ht="13.8">
      <c r="R6630" s="10">
        <v>6602</v>
      </c>
    </row>
    <row r="6631" spans="18:18" ht="13.8">
      <c r="R6631" s="10">
        <v>6603</v>
      </c>
    </row>
    <row r="6632" spans="18:18" ht="13.8">
      <c r="R6632" s="10">
        <v>6604</v>
      </c>
    </row>
    <row r="6633" spans="18:18" ht="13.8">
      <c r="R6633" s="10">
        <v>6605</v>
      </c>
    </row>
    <row r="6634" spans="18:18" ht="13.8">
      <c r="R6634" s="10">
        <v>6606</v>
      </c>
    </row>
    <row r="6635" spans="18:18" ht="13.8">
      <c r="R6635" s="10">
        <v>6607</v>
      </c>
    </row>
    <row r="6636" spans="18:18" ht="13.8">
      <c r="R6636" s="10">
        <v>6608</v>
      </c>
    </row>
    <row r="6637" spans="18:18" ht="13.8">
      <c r="R6637" s="10">
        <v>6609</v>
      </c>
    </row>
    <row r="6638" spans="18:18" ht="13.8">
      <c r="R6638" s="10">
        <v>6610</v>
      </c>
    </row>
    <row r="6639" spans="18:18" ht="13.8">
      <c r="R6639" s="10">
        <v>6611</v>
      </c>
    </row>
    <row r="6640" spans="18:18" ht="13.8">
      <c r="R6640" s="10">
        <v>6612</v>
      </c>
    </row>
    <row r="6641" spans="18:18" ht="13.8">
      <c r="R6641" s="10">
        <v>6613</v>
      </c>
    </row>
    <row r="6642" spans="18:18" ht="13.8">
      <c r="R6642" s="10">
        <v>6614</v>
      </c>
    </row>
    <row r="6643" spans="18:18" ht="13.8">
      <c r="R6643" s="10">
        <v>6615</v>
      </c>
    </row>
    <row r="6644" spans="18:18" ht="13.8">
      <c r="R6644" s="10">
        <v>6616</v>
      </c>
    </row>
    <row r="6645" spans="18:18" ht="13.8">
      <c r="R6645" s="10">
        <v>6617</v>
      </c>
    </row>
    <row r="6646" spans="18:18" ht="13.8">
      <c r="R6646" s="10">
        <v>6618</v>
      </c>
    </row>
    <row r="6647" spans="18:18" ht="13.8">
      <c r="R6647" s="10">
        <v>6619</v>
      </c>
    </row>
    <row r="6648" spans="18:18" ht="13.8">
      <c r="R6648" s="10">
        <v>6620</v>
      </c>
    </row>
    <row r="6649" spans="18:18" ht="13.8">
      <c r="R6649" s="10">
        <v>6621</v>
      </c>
    </row>
    <row r="6650" spans="18:18" ht="13.8">
      <c r="R6650" s="10">
        <v>6622</v>
      </c>
    </row>
    <row r="6651" spans="18:18" ht="13.8">
      <c r="R6651" s="10">
        <v>6623</v>
      </c>
    </row>
    <row r="6652" spans="18:18" ht="13.8">
      <c r="R6652" s="10">
        <v>6624</v>
      </c>
    </row>
    <row r="6653" spans="18:18" ht="13.8">
      <c r="R6653" s="10">
        <v>6625</v>
      </c>
    </row>
    <row r="6654" spans="18:18" ht="13.8">
      <c r="R6654" s="10">
        <v>6626</v>
      </c>
    </row>
    <row r="6655" spans="18:18" ht="13.8">
      <c r="R6655" s="10">
        <v>6627</v>
      </c>
    </row>
    <row r="6656" spans="18:18" ht="13.8">
      <c r="R6656" s="10">
        <v>6628</v>
      </c>
    </row>
    <row r="6657" spans="18:18" ht="13.8">
      <c r="R6657" s="10">
        <v>6629</v>
      </c>
    </row>
    <row r="6658" spans="18:18" ht="13.8">
      <c r="R6658" s="10">
        <v>6630</v>
      </c>
    </row>
    <row r="6659" spans="18:18" ht="13.8">
      <c r="R6659" s="10">
        <v>6631</v>
      </c>
    </row>
    <row r="6660" spans="18:18" ht="13.8">
      <c r="R6660" s="10">
        <v>6632</v>
      </c>
    </row>
    <row r="6661" spans="18:18" ht="13.8">
      <c r="R6661" s="10">
        <v>6633</v>
      </c>
    </row>
    <row r="6662" spans="18:18" ht="13.8">
      <c r="R6662" s="10">
        <v>6634</v>
      </c>
    </row>
    <row r="6663" spans="18:18" ht="13.8">
      <c r="R6663" s="10">
        <v>6635</v>
      </c>
    </row>
    <row r="6664" spans="18:18" ht="13.8">
      <c r="R6664" s="10">
        <v>6636</v>
      </c>
    </row>
    <row r="6665" spans="18:18" ht="13.8">
      <c r="R6665" s="10">
        <v>6637</v>
      </c>
    </row>
    <row r="6666" spans="18:18" ht="13.8">
      <c r="R6666" s="10">
        <v>6638</v>
      </c>
    </row>
    <row r="6667" spans="18:18" ht="13.8">
      <c r="R6667" s="10">
        <v>6639</v>
      </c>
    </row>
    <row r="6668" spans="18:18" ht="13.8">
      <c r="R6668" s="10">
        <v>6640</v>
      </c>
    </row>
    <row r="6669" spans="18:18" ht="13.8">
      <c r="R6669" s="10">
        <v>6641</v>
      </c>
    </row>
    <row r="6670" spans="18:18" ht="13.8">
      <c r="R6670" s="10">
        <v>6642</v>
      </c>
    </row>
    <row r="6671" spans="18:18" ht="13.8">
      <c r="R6671" s="10">
        <v>6643</v>
      </c>
    </row>
    <row r="6672" spans="18:18" ht="13.8">
      <c r="R6672" s="10">
        <v>6644</v>
      </c>
    </row>
    <row r="6673" spans="18:18" ht="13.8">
      <c r="R6673" s="10">
        <v>6645</v>
      </c>
    </row>
    <row r="6674" spans="18:18" ht="13.8">
      <c r="R6674" s="10">
        <v>6646</v>
      </c>
    </row>
    <row r="6675" spans="18:18" ht="13.8">
      <c r="R6675" s="10">
        <v>6647</v>
      </c>
    </row>
    <row r="6676" spans="18:18" ht="13.8">
      <c r="R6676" s="10">
        <v>6648</v>
      </c>
    </row>
    <row r="6677" spans="18:18" ht="13.8">
      <c r="R6677" s="10">
        <v>6649</v>
      </c>
    </row>
    <row r="6678" spans="18:18" ht="13.8">
      <c r="R6678" s="10">
        <v>6650</v>
      </c>
    </row>
    <row r="6679" spans="18:18" ht="13.8">
      <c r="R6679" s="10">
        <v>6651</v>
      </c>
    </row>
    <row r="6680" spans="18:18" ht="13.8">
      <c r="R6680" s="10">
        <v>6652</v>
      </c>
    </row>
    <row r="6681" spans="18:18" ht="13.8">
      <c r="R6681" s="10">
        <v>6653</v>
      </c>
    </row>
    <row r="6682" spans="18:18" ht="13.8">
      <c r="R6682" s="10">
        <v>6654</v>
      </c>
    </row>
    <row r="6683" spans="18:18" ht="13.8">
      <c r="R6683" s="10">
        <v>6655</v>
      </c>
    </row>
    <row r="6684" spans="18:18" ht="13.8">
      <c r="R6684" s="10">
        <v>6656</v>
      </c>
    </row>
    <row r="6685" spans="18:18" ht="13.8">
      <c r="R6685" s="10">
        <v>6657</v>
      </c>
    </row>
    <row r="6686" spans="18:18" ht="13.8">
      <c r="R6686" s="10">
        <v>6658</v>
      </c>
    </row>
    <row r="6687" spans="18:18" ht="13.8">
      <c r="R6687" s="10">
        <v>6659</v>
      </c>
    </row>
    <row r="6688" spans="18:18" ht="13.8">
      <c r="R6688" s="10">
        <v>6660</v>
      </c>
    </row>
    <row r="6689" spans="18:18" ht="13.8">
      <c r="R6689" s="10">
        <v>6661</v>
      </c>
    </row>
    <row r="6690" spans="18:18" ht="13.8">
      <c r="R6690" s="10">
        <v>6662</v>
      </c>
    </row>
    <row r="6691" spans="18:18" ht="13.8">
      <c r="R6691" s="10">
        <v>6663</v>
      </c>
    </row>
    <row r="6692" spans="18:18" ht="13.8">
      <c r="R6692" s="10">
        <v>6664</v>
      </c>
    </row>
    <row r="6693" spans="18:18" ht="13.8">
      <c r="R6693" s="10">
        <v>6665</v>
      </c>
    </row>
    <row r="6694" spans="18:18" ht="13.8">
      <c r="R6694" s="10">
        <v>6666</v>
      </c>
    </row>
    <row r="6695" spans="18:18" ht="13.8">
      <c r="R6695" s="10">
        <v>6667</v>
      </c>
    </row>
    <row r="6696" spans="18:18" ht="13.8">
      <c r="R6696" s="10">
        <v>6668</v>
      </c>
    </row>
    <row r="6697" spans="18:18" ht="13.8">
      <c r="R6697" s="10">
        <v>6669</v>
      </c>
    </row>
    <row r="6698" spans="18:18" ht="13.8">
      <c r="R6698" s="10">
        <v>6670</v>
      </c>
    </row>
    <row r="6699" spans="18:18" ht="13.8">
      <c r="R6699" s="10">
        <v>6671</v>
      </c>
    </row>
    <row r="6700" spans="18:18" ht="13.8">
      <c r="R6700" s="10">
        <v>6672</v>
      </c>
    </row>
    <row r="6701" spans="18:18" ht="13.8">
      <c r="R6701" s="10">
        <v>6673</v>
      </c>
    </row>
    <row r="6702" spans="18:18" ht="13.8">
      <c r="R6702" s="10">
        <v>6674</v>
      </c>
    </row>
    <row r="6703" spans="18:18" ht="13.8">
      <c r="R6703" s="10">
        <v>6675</v>
      </c>
    </row>
    <row r="6704" spans="18:18" ht="13.8">
      <c r="R6704" s="10">
        <v>6676</v>
      </c>
    </row>
    <row r="6705" spans="18:18" ht="13.8">
      <c r="R6705" s="10">
        <v>6677</v>
      </c>
    </row>
    <row r="6706" spans="18:18" ht="13.8">
      <c r="R6706" s="10">
        <v>6678</v>
      </c>
    </row>
    <row r="6707" spans="18:18" ht="13.8">
      <c r="R6707" s="10">
        <v>6679</v>
      </c>
    </row>
    <row r="6708" spans="18:18" ht="13.8">
      <c r="R6708" s="10">
        <v>6680</v>
      </c>
    </row>
    <row r="6709" spans="18:18" ht="13.8">
      <c r="R6709" s="10">
        <v>6681</v>
      </c>
    </row>
    <row r="6710" spans="18:18" ht="13.8">
      <c r="R6710" s="10">
        <v>6682</v>
      </c>
    </row>
    <row r="6711" spans="18:18" ht="13.8">
      <c r="R6711" s="10">
        <v>6683</v>
      </c>
    </row>
    <row r="6712" spans="18:18" ht="13.8">
      <c r="R6712" s="10">
        <v>6684</v>
      </c>
    </row>
    <row r="6713" spans="18:18" ht="13.8">
      <c r="R6713" s="10">
        <v>6685</v>
      </c>
    </row>
    <row r="6714" spans="18:18" ht="13.8">
      <c r="R6714" s="10">
        <v>6686</v>
      </c>
    </row>
    <row r="6715" spans="18:18" ht="13.8">
      <c r="R6715" s="10">
        <v>6687</v>
      </c>
    </row>
    <row r="6716" spans="18:18" ht="13.8">
      <c r="R6716" s="10">
        <v>6688</v>
      </c>
    </row>
    <row r="6717" spans="18:18" ht="13.8">
      <c r="R6717" s="10">
        <v>6689</v>
      </c>
    </row>
    <row r="6718" spans="18:18" ht="13.8">
      <c r="R6718" s="10">
        <v>6690</v>
      </c>
    </row>
    <row r="6719" spans="18:18" ht="13.8">
      <c r="R6719" s="10">
        <v>6691</v>
      </c>
    </row>
    <row r="6720" spans="18:18" ht="13.8">
      <c r="R6720" s="10">
        <v>6692</v>
      </c>
    </row>
    <row r="6721" spans="18:18" ht="13.8">
      <c r="R6721" s="10">
        <v>6693</v>
      </c>
    </row>
    <row r="6722" spans="18:18" ht="13.8">
      <c r="R6722" s="10">
        <v>6694</v>
      </c>
    </row>
    <row r="6723" spans="18:18" ht="13.8">
      <c r="R6723" s="10">
        <v>6695</v>
      </c>
    </row>
    <row r="6724" spans="18:18" ht="13.8">
      <c r="R6724" s="10">
        <v>6696</v>
      </c>
    </row>
    <row r="6725" spans="18:18" ht="13.8">
      <c r="R6725" s="10">
        <v>6697</v>
      </c>
    </row>
    <row r="6726" spans="18:18" ht="13.8">
      <c r="R6726" s="10">
        <v>6698</v>
      </c>
    </row>
    <row r="6727" spans="18:18" ht="13.8">
      <c r="R6727" s="10">
        <v>6699</v>
      </c>
    </row>
    <row r="6728" spans="18:18" ht="13.8">
      <c r="R6728" s="10">
        <v>6700</v>
      </c>
    </row>
    <row r="6729" spans="18:18" ht="13.8">
      <c r="R6729" s="10">
        <v>6701</v>
      </c>
    </row>
    <row r="6730" spans="18:18" ht="13.8">
      <c r="R6730" s="10">
        <v>6702</v>
      </c>
    </row>
    <row r="6731" spans="18:18" ht="13.8">
      <c r="R6731" s="10">
        <v>6703</v>
      </c>
    </row>
    <row r="6732" spans="18:18" ht="13.8">
      <c r="R6732" s="10">
        <v>6704</v>
      </c>
    </row>
    <row r="6733" spans="18:18" ht="13.8">
      <c r="R6733" s="10">
        <v>6705</v>
      </c>
    </row>
    <row r="6734" spans="18:18" ht="13.8">
      <c r="R6734" s="10">
        <v>6706</v>
      </c>
    </row>
    <row r="6735" spans="18:18" ht="13.8">
      <c r="R6735" s="10">
        <v>6707</v>
      </c>
    </row>
    <row r="6736" spans="18:18" ht="13.8">
      <c r="R6736" s="10">
        <v>6708</v>
      </c>
    </row>
    <row r="6737" spans="18:18" ht="13.8">
      <c r="R6737" s="10">
        <v>6709</v>
      </c>
    </row>
    <row r="6738" spans="18:18" ht="13.8">
      <c r="R6738" s="10">
        <v>6710</v>
      </c>
    </row>
    <row r="6739" spans="18:18" ht="13.8">
      <c r="R6739" s="10">
        <v>6711</v>
      </c>
    </row>
    <row r="6740" spans="18:18" ht="13.8">
      <c r="R6740" s="10">
        <v>6712</v>
      </c>
    </row>
    <row r="6741" spans="18:18" ht="13.8">
      <c r="R6741" s="10">
        <v>6713</v>
      </c>
    </row>
    <row r="6742" spans="18:18" ht="13.8">
      <c r="R6742" s="10">
        <v>6714</v>
      </c>
    </row>
    <row r="6743" spans="18:18" ht="13.8">
      <c r="R6743" s="10">
        <v>6715</v>
      </c>
    </row>
    <row r="6744" spans="18:18" ht="13.8">
      <c r="R6744" s="10">
        <v>6716</v>
      </c>
    </row>
    <row r="6745" spans="18:18" ht="13.8">
      <c r="R6745" s="10">
        <v>6717</v>
      </c>
    </row>
    <row r="6746" spans="18:18" ht="13.8">
      <c r="R6746" s="10">
        <v>6718</v>
      </c>
    </row>
    <row r="6747" spans="18:18" ht="13.8">
      <c r="R6747" s="10">
        <v>6719</v>
      </c>
    </row>
    <row r="6748" spans="18:18" ht="13.8">
      <c r="R6748" s="10">
        <v>6720</v>
      </c>
    </row>
    <row r="6749" spans="18:18" ht="13.8">
      <c r="R6749" s="10">
        <v>6721</v>
      </c>
    </row>
    <row r="6750" spans="18:18" ht="13.8">
      <c r="R6750" s="10">
        <v>6722</v>
      </c>
    </row>
    <row r="6751" spans="18:18" ht="13.8">
      <c r="R6751" s="10">
        <v>6723</v>
      </c>
    </row>
    <row r="6752" spans="18:18" ht="13.8">
      <c r="R6752" s="10">
        <v>6724</v>
      </c>
    </row>
    <row r="6753" spans="18:18" ht="13.8">
      <c r="R6753" s="10">
        <v>6725</v>
      </c>
    </row>
    <row r="6754" spans="18:18" ht="13.8">
      <c r="R6754" s="10">
        <v>6726</v>
      </c>
    </row>
    <row r="6755" spans="18:18" ht="13.8">
      <c r="R6755" s="10">
        <v>6727</v>
      </c>
    </row>
    <row r="6756" spans="18:18" ht="13.8">
      <c r="R6756" s="10">
        <v>6728</v>
      </c>
    </row>
    <row r="6757" spans="18:18" ht="13.8">
      <c r="R6757" s="10">
        <v>6729</v>
      </c>
    </row>
    <row r="6758" spans="18:18" ht="13.8">
      <c r="R6758" s="10">
        <v>6730</v>
      </c>
    </row>
    <row r="6759" spans="18:18" ht="13.8">
      <c r="R6759" s="10">
        <v>6731</v>
      </c>
    </row>
    <row r="6760" spans="18:18" ht="13.8">
      <c r="R6760" s="10">
        <v>6732</v>
      </c>
    </row>
    <row r="6761" spans="18:18" ht="13.8">
      <c r="R6761" s="10">
        <v>6733</v>
      </c>
    </row>
    <row r="6762" spans="18:18" ht="13.8">
      <c r="R6762" s="10">
        <v>6734</v>
      </c>
    </row>
    <row r="6763" spans="18:18" ht="13.8">
      <c r="R6763" s="10">
        <v>6735</v>
      </c>
    </row>
    <row r="6764" spans="18:18" ht="13.8">
      <c r="R6764" s="10">
        <v>6736</v>
      </c>
    </row>
    <row r="6765" spans="18:18" ht="13.8">
      <c r="R6765" s="10">
        <v>6737</v>
      </c>
    </row>
    <row r="6766" spans="18:18" ht="13.8">
      <c r="R6766" s="10">
        <v>6738</v>
      </c>
    </row>
    <row r="6767" spans="18:18" ht="13.8">
      <c r="R6767" s="10">
        <v>6739</v>
      </c>
    </row>
    <row r="6768" spans="18:18" ht="13.8">
      <c r="R6768" s="10">
        <v>6740</v>
      </c>
    </row>
    <row r="6769" spans="18:18" ht="13.8">
      <c r="R6769" s="10">
        <v>6741</v>
      </c>
    </row>
    <row r="6770" spans="18:18" ht="13.8">
      <c r="R6770" s="10">
        <v>6742</v>
      </c>
    </row>
    <row r="6771" spans="18:18" ht="13.8">
      <c r="R6771" s="10">
        <v>6743</v>
      </c>
    </row>
    <row r="6772" spans="18:18" ht="13.8">
      <c r="R6772" s="10">
        <v>6744</v>
      </c>
    </row>
    <row r="6773" spans="18:18" ht="13.8">
      <c r="R6773" s="10">
        <v>6745</v>
      </c>
    </row>
    <row r="6774" spans="18:18" ht="13.8">
      <c r="R6774" s="10">
        <v>6746</v>
      </c>
    </row>
    <row r="6775" spans="18:18" ht="13.8">
      <c r="R6775" s="10">
        <v>6747</v>
      </c>
    </row>
    <row r="6776" spans="18:18" ht="13.8">
      <c r="R6776" s="10">
        <v>6748</v>
      </c>
    </row>
    <row r="6777" spans="18:18" ht="13.8">
      <c r="R6777" s="10">
        <v>6749</v>
      </c>
    </row>
    <row r="6778" spans="18:18" ht="13.8">
      <c r="R6778" s="10">
        <v>6750</v>
      </c>
    </row>
    <row r="6779" spans="18:18" ht="13.8">
      <c r="R6779" s="10">
        <v>6751</v>
      </c>
    </row>
    <row r="6780" spans="18:18" ht="13.8">
      <c r="R6780" s="10">
        <v>6752</v>
      </c>
    </row>
    <row r="6781" spans="18:18" ht="13.8">
      <c r="R6781" s="10">
        <v>6753</v>
      </c>
    </row>
    <row r="6782" spans="18:18" ht="13.8">
      <c r="R6782" s="10">
        <v>6754</v>
      </c>
    </row>
    <row r="6783" spans="18:18" ht="13.8">
      <c r="R6783" s="10">
        <v>6755</v>
      </c>
    </row>
    <row r="6784" spans="18:18" ht="13.8">
      <c r="R6784" s="10">
        <v>6756</v>
      </c>
    </row>
    <row r="6785" spans="18:18" ht="13.8">
      <c r="R6785" s="10">
        <v>6757</v>
      </c>
    </row>
    <row r="6786" spans="18:18" ht="13.8">
      <c r="R6786" s="10">
        <v>6758</v>
      </c>
    </row>
    <row r="6787" spans="18:18" ht="13.8">
      <c r="R6787" s="10">
        <v>6759</v>
      </c>
    </row>
    <row r="6788" spans="18:18" ht="13.8">
      <c r="R6788" s="10">
        <v>6760</v>
      </c>
    </row>
    <row r="6789" spans="18:18" ht="13.8">
      <c r="R6789" s="10">
        <v>6761</v>
      </c>
    </row>
    <row r="6790" spans="18:18" ht="13.8">
      <c r="R6790" s="10">
        <v>6762</v>
      </c>
    </row>
    <row r="6791" spans="18:18" ht="13.8">
      <c r="R6791" s="10">
        <v>6763</v>
      </c>
    </row>
    <row r="6792" spans="18:18" ht="13.8">
      <c r="R6792" s="10">
        <v>6764</v>
      </c>
    </row>
    <row r="6793" spans="18:18" ht="13.8">
      <c r="R6793" s="10">
        <v>6765</v>
      </c>
    </row>
    <row r="6794" spans="18:18" ht="13.8">
      <c r="R6794" s="10">
        <v>6766</v>
      </c>
    </row>
    <row r="6795" spans="18:18" ht="13.8">
      <c r="R6795" s="10">
        <v>6767</v>
      </c>
    </row>
    <row r="6796" spans="18:18" ht="13.8">
      <c r="R6796" s="10">
        <v>6768</v>
      </c>
    </row>
    <row r="6797" spans="18:18" ht="13.8">
      <c r="R6797" s="10">
        <v>6769</v>
      </c>
    </row>
    <row r="6798" spans="18:18" ht="13.8">
      <c r="R6798" s="10">
        <v>6770</v>
      </c>
    </row>
    <row r="6799" spans="18:18" ht="13.8">
      <c r="R6799" s="10">
        <v>6771</v>
      </c>
    </row>
    <row r="6800" spans="18:18" ht="13.8">
      <c r="R6800" s="10">
        <v>6772</v>
      </c>
    </row>
    <row r="6801" spans="18:18" ht="13.8">
      <c r="R6801" s="10">
        <v>6773</v>
      </c>
    </row>
    <row r="6802" spans="18:18" ht="13.8">
      <c r="R6802" s="10">
        <v>6774</v>
      </c>
    </row>
    <row r="6803" spans="18:18" ht="13.8">
      <c r="R6803" s="10">
        <v>6775</v>
      </c>
    </row>
    <row r="6804" spans="18:18" ht="13.8">
      <c r="R6804" s="10">
        <v>6776</v>
      </c>
    </row>
    <row r="6805" spans="18:18" ht="13.8">
      <c r="R6805" s="10">
        <v>6777</v>
      </c>
    </row>
    <row r="6806" spans="18:18" ht="13.8">
      <c r="R6806" s="10">
        <v>6778</v>
      </c>
    </row>
    <row r="6807" spans="18:18" ht="13.8">
      <c r="R6807" s="10">
        <v>6779</v>
      </c>
    </row>
    <row r="6808" spans="18:18" ht="13.8">
      <c r="R6808" s="10">
        <v>6780</v>
      </c>
    </row>
    <row r="6809" spans="18:18" ht="13.8">
      <c r="R6809" s="10">
        <v>6781</v>
      </c>
    </row>
    <row r="6810" spans="18:18" ht="13.8">
      <c r="R6810" s="10">
        <v>6782</v>
      </c>
    </row>
    <row r="6811" spans="18:18" ht="13.8">
      <c r="R6811" s="10">
        <v>6783</v>
      </c>
    </row>
    <row r="6812" spans="18:18" ht="13.8">
      <c r="R6812" s="10">
        <v>6784</v>
      </c>
    </row>
    <row r="6813" spans="18:18" ht="13.8">
      <c r="R6813" s="10">
        <v>6785</v>
      </c>
    </row>
    <row r="6814" spans="18:18" ht="13.8">
      <c r="R6814" s="10">
        <v>6786</v>
      </c>
    </row>
    <row r="6815" spans="18:18" ht="13.8">
      <c r="R6815" s="10">
        <v>6787</v>
      </c>
    </row>
    <row r="6816" spans="18:18" ht="13.8">
      <c r="R6816" s="10">
        <v>6788</v>
      </c>
    </row>
    <row r="6817" spans="18:18" ht="13.8">
      <c r="R6817" s="10">
        <v>6789</v>
      </c>
    </row>
    <row r="6818" spans="18:18" ht="13.8">
      <c r="R6818" s="10">
        <v>6790</v>
      </c>
    </row>
    <row r="6819" spans="18:18" ht="13.8">
      <c r="R6819" s="10">
        <v>6791</v>
      </c>
    </row>
    <row r="6820" spans="18:18" ht="13.8">
      <c r="R6820" s="10">
        <v>6792</v>
      </c>
    </row>
    <row r="6821" spans="18:18" ht="13.8">
      <c r="R6821" s="10">
        <v>6793</v>
      </c>
    </row>
    <row r="6822" spans="18:18" ht="13.8">
      <c r="R6822" s="10">
        <v>6794</v>
      </c>
    </row>
    <row r="6823" spans="18:18" ht="13.8">
      <c r="R6823" s="10">
        <v>6795</v>
      </c>
    </row>
    <row r="6824" spans="18:18" ht="13.8">
      <c r="R6824" s="10">
        <v>6796</v>
      </c>
    </row>
    <row r="6825" spans="18:18" ht="13.8">
      <c r="R6825" s="10">
        <v>6797</v>
      </c>
    </row>
    <row r="6826" spans="18:18" ht="13.8">
      <c r="R6826" s="10">
        <v>6798</v>
      </c>
    </row>
    <row r="6827" spans="18:18" ht="13.8">
      <c r="R6827" s="10">
        <v>6799</v>
      </c>
    </row>
    <row r="6828" spans="18:18" ht="13.8">
      <c r="R6828" s="10">
        <v>6800</v>
      </c>
    </row>
    <row r="6829" spans="18:18" ht="13.8">
      <c r="R6829" s="10">
        <v>6801</v>
      </c>
    </row>
    <row r="6830" spans="18:18" ht="13.8">
      <c r="R6830" s="10">
        <v>6802</v>
      </c>
    </row>
    <row r="6831" spans="18:18" ht="13.8">
      <c r="R6831" s="10">
        <v>6803</v>
      </c>
    </row>
    <row r="6832" spans="18:18" ht="13.8">
      <c r="R6832" s="10">
        <v>6804</v>
      </c>
    </row>
    <row r="6833" spans="18:18" ht="13.8">
      <c r="R6833" s="10">
        <v>6805</v>
      </c>
    </row>
    <row r="6834" spans="18:18" ht="13.8">
      <c r="R6834" s="10">
        <v>6806</v>
      </c>
    </row>
    <row r="6835" spans="18:18" ht="13.8">
      <c r="R6835" s="10">
        <v>6807</v>
      </c>
    </row>
    <row r="6836" spans="18:18" ht="13.8">
      <c r="R6836" s="10">
        <v>6808</v>
      </c>
    </row>
    <row r="6837" spans="18:18" ht="13.8">
      <c r="R6837" s="10">
        <v>6809</v>
      </c>
    </row>
    <row r="6838" spans="18:18" ht="13.8">
      <c r="R6838" s="10">
        <v>6810</v>
      </c>
    </row>
    <row r="6839" spans="18:18" ht="13.8">
      <c r="R6839" s="10">
        <v>6811</v>
      </c>
    </row>
    <row r="6840" spans="18:18" ht="13.8">
      <c r="R6840" s="10">
        <v>6812</v>
      </c>
    </row>
    <row r="6841" spans="18:18" ht="13.8">
      <c r="R6841" s="10">
        <v>6813</v>
      </c>
    </row>
    <row r="6842" spans="18:18" ht="13.8">
      <c r="R6842" s="10">
        <v>6814</v>
      </c>
    </row>
    <row r="6843" spans="18:18" ht="13.8">
      <c r="R6843" s="10">
        <v>6815</v>
      </c>
    </row>
    <row r="6844" spans="18:18" ht="13.8">
      <c r="R6844" s="10">
        <v>6816</v>
      </c>
    </row>
    <row r="6845" spans="18:18" ht="13.8">
      <c r="R6845" s="10">
        <v>6817</v>
      </c>
    </row>
    <row r="6846" spans="18:18" ht="13.8">
      <c r="R6846" s="10">
        <v>6818</v>
      </c>
    </row>
    <row r="6847" spans="18:18" ht="13.8">
      <c r="R6847" s="10">
        <v>6819</v>
      </c>
    </row>
    <row r="6848" spans="18:18" ht="13.8">
      <c r="R6848" s="10">
        <v>6820</v>
      </c>
    </row>
    <row r="6849" spans="18:18" ht="13.8">
      <c r="R6849" s="10">
        <v>6821</v>
      </c>
    </row>
    <row r="6850" spans="18:18" ht="13.8">
      <c r="R6850" s="10">
        <v>6822</v>
      </c>
    </row>
    <row r="6851" spans="18:18" ht="13.8">
      <c r="R6851" s="10">
        <v>6823</v>
      </c>
    </row>
    <row r="6852" spans="18:18" ht="13.8">
      <c r="R6852" s="10">
        <v>6824</v>
      </c>
    </row>
    <row r="6853" spans="18:18" ht="13.8">
      <c r="R6853" s="10">
        <v>6825</v>
      </c>
    </row>
    <row r="6854" spans="18:18" ht="13.8">
      <c r="R6854" s="10">
        <v>6826</v>
      </c>
    </row>
    <row r="6855" spans="18:18" ht="13.8">
      <c r="R6855" s="10">
        <v>6827</v>
      </c>
    </row>
    <row r="6856" spans="18:18" ht="13.8">
      <c r="R6856" s="10">
        <v>6828</v>
      </c>
    </row>
    <row r="6857" spans="18:18" ht="13.8">
      <c r="R6857" s="10">
        <v>6829</v>
      </c>
    </row>
    <row r="6858" spans="18:18" ht="13.8">
      <c r="R6858" s="10">
        <v>6830</v>
      </c>
    </row>
    <row r="6859" spans="18:18" ht="13.8">
      <c r="R6859" s="10">
        <v>6831</v>
      </c>
    </row>
    <row r="6860" spans="18:18" ht="13.8">
      <c r="R6860" s="10">
        <v>6832</v>
      </c>
    </row>
    <row r="6861" spans="18:18" ht="13.8">
      <c r="R6861" s="10">
        <v>6833</v>
      </c>
    </row>
    <row r="6862" spans="18:18" ht="13.8">
      <c r="R6862" s="10">
        <v>6834</v>
      </c>
    </row>
    <row r="6863" spans="18:18" ht="13.8">
      <c r="R6863" s="10">
        <v>6835</v>
      </c>
    </row>
    <row r="6864" spans="18:18" ht="13.8">
      <c r="R6864" s="10">
        <v>6836</v>
      </c>
    </row>
    <row r="6865" spans="18:18" ht="13.8">
      <c r="R6865" s="10">
        <v>6837</v>
      </c>
    </row>
    <row r="6866" spans="18:18" ht="13.8">
      <c r="R6866" s="10">
        <v>6838</v>
      </c>
    </row>
    <row r="6867" spans="18:18" ht="13.8">
      <c r="R6867" s="10">
        <v>6839</v>
      </c>
    </row>
    <row r="6868" spans="18:18" ht="13.8">
      <c r="R6868" s="10">
        <v>6840</v>
      </c>
    </row>
    <row r="6869" spans="18:18" ht="13.8">
      <c r="R6869" s="10">
        <v>6841</v>
      </c>
    </row>
    <row r="6870" spans="18:18" ht="13.8">
      <c r="R6870" s="10">
        <v>6842</v>
      </c>
    </row>
    <row r="6871" spans="18:18" ht="13.8">
      <c r="R6871" s="10">
        <v>6843</v>
      </c>
    </row>
    <row r="6872" spans="18:18" ht="13.8">
      <c r="R6872" s="10">
        <v>6844</v>
      </c>
    </row>
    <row r="6873" spans="18:18" ht="13.8">
      <c r="R6873" s="10">
        <v>6845</v>
      </c>
    </row>
    <row r="6874" spans="18:18" ht="13.8">
      <c r="R6874" s="10">
        <v>6846</v>
      </c>
    </row>
    <row r="6875" spans="18:18" ht="13.8">
      <c r="R6875" s="10">
        <v>6847</v>
      </c>
    </row>
    <row r="6876" spans="18:18" ht="13.8">
      <c r="R6876" s="10">
        <v>6848</v>
      </c>
    </row>
    <row r="6877" spans="18:18" ht="13.8">
      <c r="R6877" s="10">
        <v>6849</v>
      </c>
    </row>
    <row r="6878" spans="18:18" ht="13.8">
      <c r="R6878" s="10">
        <v>6850</v>
      </c>
    </row>
    <row r="6879" spans="18:18" ht="13.8">
      <c r="R6879" s="10">
        <v>6851</v>
      </c>
    </row>
    <row r="6880" spans="18:18" ht="13.8">
      <c r="R6880" s="10">
        <v>6852</v>
      </c>
    </row>
    <row r="6881" spans="18:18" ht="13.8">
      <c r="R6881" s="10">
        <v>6853</v>
      </c>
    </row>
    <row r="6882" spans="18:18" ht="13.8">
      <c r="R6882" s="10">
        <v>6854</v>
      </c>
    </row>
    <row r="6883" spans="18:18" ht="13.8">
      <c r="R6883" s="10">
        <v>6855</v>
      </c>
    </row>
    <row r="6884" spans="18:18" ht="13.8">
      <c r="R6884" s="10">
        <v>6856</v>
      </c>
    </row>
    <row r="6885" spans="18:18" ht="13.8">
      <c r="R6885" s="10">
        <v>6857</v>
      </c>
    </row>
    <row r="6886" spans="18:18" ht="13.8">
      <c r="R6886" s="10">
        <v>6858</v>
      </c>
    </row>
    <row r="6887" spans="18:18" ht="13.8">
      <c r="R6887" s="10">
        <v>6859</v>
      </c>
    </row>
    <row r="6888" spans="18:18" ht="13.8">
      <c r="R6888" s="10">
        <v>6860</v>
      </c>
    </row>
    <row r="6889" spans="18:18" ht="13.8">
      <c r="R6889" s="10">
        <v>6861</v>
      </c>
    </row>
    <row r="6890" spans="18:18" ht="13.8">
      <c r="R6890" s="10">
        <v>6862</v>
      </c>
    </row>
    <row r="6891" spans="18:18" ht="13.8">
      <c r="R6891" s="10">
        <v>6863</v>
      </c>
    </row>
    <row r="6892" spans="18:18" ht="13.8">
      <c r="R6892" s="10">
        <v>6864</v>
      </c>
    </row>
    <row r="6893" spans="18:18" ht="13.8">
      <c r="R6893" s="10">
        <v>6865</v>
      </c>
    </row>
    <row r="6894" spans="18:18" ht="13.8">
      <c r="R6894" s="10">
        <v>6866</v>
      </c>
    </row>
    <row r="6895" spans="18:18" ht="13.8">
      <c r="R6895" s="10">
        <v>6867</v>
      </c>
    </row>
    <row r="6896" spans="18:18" ht="13.8">
      <c r="R6896" s="10">
        <v>6868</v>
      </c>
    </row>
    <row r="6897" spans="18:18" ht="13.8">
      <c r="R6897" s="10">
        <v>6869</v>
      </c>
    </row>
    <row r="6898" spans="18:18" ht="13.8">
      <c r="R6898" s="10">
        <v>6870</v>
      </c>
    </row>
    <row r="6899" spans="18:18" ht="13.8">
      <c r="R6899" s="10">
        <v>6871</v>
      </c>
    </row>
    <row r="6900" spans="18:18" ht="13.8">
      <c r="R6900" s="10">
        <v>6872</v>
      </c>
    </row>
    <row r="6901" spans="18:18" ht="13.8">
      <c r="R6901" s="10">
        <v>6873</v>
      </c>
    </row>
    <row r="6902" spans="18:18" ht="13.8">
      <c r="R6902" s="10">
        <v>6874</v>
      </c>
    </row>
    <row r="6903" spans="18:18" ht="13.8">
      <c r="R6903" s="10">
        <v>6875</v>
      </c>
    </row>
    <row r="6904" spans="18:18" ht="13.8">
      <c r="R6904" s="10">
        <v>6876</v>
      </c>
    </row>
    <row r="6905" spans="18:18" ht="13.8">
      <c r="R6905" s="10">
        <v>6877</v>
      </c>
    </row>
    <row r="6906" spans="18:18" ht="13.8">
      <c r="R6906" s="10">
        <v>6878</v>
      </c>
    </row>
    <row r="6907" spans="18:18" ht="13.8">
      <c r="R6907" s="10">
        <v>6879</v>
      </c>
    </row>
    <row r="6908" spans="18:18" ht="13.8">
      <c r="R6908" s="10">
        <v>6880</v>
      </c>
    </row>
    <row r="6909" spans="18:18" ht="13.8">
      <c r="R6909" s="10">
        <v>6881</v>
      </c>
    </row>
    <row r="6910" spans="18:18" ht="13.8">
      <c r="R6910" s="10">
        <v>6882</v>
      </c>
    </row>
    <row r="6911" spans="18:18" ht="13.8">
      <c r="R6911" s="10">
        <v>6883</v>
      </c>
    </row>
    <row r="6912" spans="18:18" ht="13.8">
      <c r="R6912" s="10">
        <v>6884</v>
      </c>
    </row>
    <row r="6913" spans="18:18" ht="13.8">
      <c r="R6913" s="10">
        <v>6885</v>
      </c>
    </row>
    <row r="6914" spans="18:18" ht="13.8">
      <c r="R6914" s="10">
        <v>6886</v>
      </c>
    </row>
    <row r="6915" spans="18:18" ht="13.8">
      <c r="R6915" s="10">
        <v>6887</v>
      </c>
    </row>
    <row r="6916" spans="18:18" ht="13.8">
      <c r="R6916" s="10">
        <v>6888</v>
      </c>
    </row>
    <row r="6917" spans="18:18" ht="13.8">
      <c r="R6917" s="10">
        <v>6889</v>
      </c>
    </row>
    <row r="6918" spans="18:18" ht="13.8">
      <c r="R6918" s="10">
        <v>6890</v>
      </c>
    </row>
    <row r="6919" spans="18:18" ht="13.8">
      <c r="R6919" s="10">
        <v>6891</v>
      </c>
    </row>
    <row r="6920" spans="18:18" ht="13.8">
      <c r="R6920" s="10">
        <v>6892</v>
      </c>
    </row>
    <row r="6921" spans="18:18" ht="13.8">
      <c r="R6921" s="10">
        <v>6893</v>
      </c>
    </row>
    <row r="6922" spans="18:18" ht="13.8">
      <c r="R6922" s="10">
        <v>6894</v>
      </c>
    </row>
    <row r="6923" spans="18:18" ht="13.8">
      <c r="R6923" s="10">
        <v>6895</v>
      </c>
    </row>
    <row r="6924" spans="18:18" ht="13.8">
      <c r="R6924" s="10">
        <v>6896</v>
      </c>
    </row>
    <row r="6925" spans="18:18" ht="13.8">
      <c r="R6925" s="10">
        <v>6897</v>
      </c>
    </row>
    <row r="6926" spans="18:18" ht="13.8">
      <c r="R6926" s="10">
        <v>6898</v>
      </c>
    </row>
    <row r="6927" spans="18:18" ht="13.8">
      <c r="R6927" s="10">
        <v>6899</v>
      </c>
    </row>
    <row r="6928" spans="18:18" ht="13.8">
      <c r="R6928" s="10">
        <v>6900</v>
      </c>
    </row>
    <row r="6929" spans="18:18" ht="13.8">
      <c r="R6929" s="10">
        <v>6901</v>
      </c>
    </row>
    <row r="6930" spans="18:18" ht="13.8">
      <c r="R6930" s="10">
        <v>6902</v>
      </c>
    </row>
    <row r="6931" spans="18:18" ht="13.8">
      <c r="R6931" s="10">
        <v>6903</v>
      </c>
    </row>
    <row r="6932" spans="18:18" ht="13.8">
      <c r="R6932" s="10">
        <v>6904</v>
      </c>
    </row>
    <row r="6933" spans="18:18" ht="13.8">
      <c r="R6933" s="10">
        <v>6905</v>
      </c>
    </row>
    <row r="6934" spans="18:18" ht="13.8">
      <c r="R6934" s="10">
        <v>6906</v>
      </c>
    </row>
    <row r="6935" spans="18:18" ht="13.8">
      <c r="R6935" s="10">
        <v>6907</v>
      </c>
    </row>
    <row r="6936" spans="18:18" ht="13.8">
      <c r="R6936" s="10">
        <v>6908</v>
      </c>
    </row>
    <row r="6937" spans="18:18" ht="13.8">
      <c r="R6937" s="10">
        <v>6909</v>
      </c>
    </row>
    <row r="6938" spans="18:18" ht="13.8">
      <c r="R6938" s="10">
        <v>6910</v>
      </c>
    </row>
    <row r="6939" spans="18:18" ht="13.8">
      <c r="R6939" s="10">
        <v>6911</v>
      </c>
    </row>
    <row r="6940" spans="18:18" ht="13.8">
      <c r="R6940" s="10">
        <v>6912</v>
      </c>
    </row>
    <row r="6941" spans="18:18" ht="13.8">
      <c r="R6941" s="10">
        <v>6913</v>
      </c>
    </row>
    <row r="6942" spans="18:18" ht="13.8">
      <c r="R6942" s="10">
        <v>6914</v>
      </c>
    </row>
    <row r="6943" spans="18:18" ht="13.8">
      <c r="R6943" s="10">
        <v>6915</v>
      </c>
    </row>
    <row r="6944" spans="18:18" ht="13.8">
      <c r="R6944" s="10">
        <v>6916</v>
      </c>
    </row>
    <row r="6945" spans="18:18" ht="13.8">
      <c r="R6945" s="10">
        <v>6917</v>
      </c>
    </row>
    <row r="6946" spans="18:18" ht="13.8">
      <c r="R6946" s="10">
        <v>6918</v>
      </c>
    </row>
    <row r="6947" spans="18:18" ht="13.8">
      <c r="R6947" s="10">
        <v>6919</v>
      </c>
    </row>
    <row r="6948" spans="18:18" ht="13.8">
      <c r="R6948" s="10">
        <v>6920</v>
      </c>
    </row>
    <row r="6949" spans="18:18" ht="13.8">
      <c r="R6949" s="10">
        <v>6921</v>
      </c>
    </row>
    <row r="6950" spans="18:18" ht="13.8">
      <c r="R6950" s="10">
        <v>6922</v>
      </c>
    </row>
    <row r="6951" spans="18:18" ht="13.8">
      <c r="R6951" s="10">
        <v>6923</v>
      </c>
    </row>
    <row r="6952" spans="18:18" ht="13.8">
      <c r="R6952" s="10">
        <v>6924</v>
      </c>
    </row>
    <row r="6953" spans="18:18" ht="13.8">
      <c r="R6953" s="10">
        <v>6925</v>
      </c>
    </row>
    <row r="6954" spans="18:18" ht="13.8">
      <c r="R6954" s="10">
        <v>6926</v>
      </c>
    </row>
    <row r="6955" spans="18:18" ht="13.8">
      <c r="R6955" s="10">
        <v>6927</v>
      </c>
    </row>
    <row r="6956" spans="18:18" ht="13.8">
      <c r="R6956" s="10">
        <v>6928</v>
      </c>
    </row>
    <row r="6957" spans="18:18" ht="13.8">
      <c r="R6957" s="10">
        <v>6929</v>
      </c>
    </row>
    <row r="6958" spans="18:18" ht="13.8">
      <c r="R6958" s="10">
        <v>6930</v>
      </c>
    </row>
    <row r="6959" spans="18:18" ht="13.8">
      <c r="R6959" s="10">
        <v>6931</v>
      </c>
    </row>
    <row r="6960" spans="18:18" ht="13.8">
      <c r="R6960" s="10">
        <v>6932</v>
      </c>
    </row>
    <row r="6961" spans="18:18" ht="13.8">
      <c r="R6961" s="10">
        <v>6933</v>
      </c>
    </row>
    <row r="6962" spans="18:18" ht="13.8">
      <c r="R6962" s="10">
        <v>6934</v>
      </c>
    </row>
    <row r="6963" spans="18:18" ht="13.8">
      <c r="R6963" s="10">
        <v>6935</v>
      </c>
    </row>
    <row r="6964" spans="18:18" ht="13.8">
      <c r="R6964" s="10">
        <v>6936</v>
      </c>
    </row>
    <row r="6965" spans="18:18" ht="13.8">
      <c r="R6965" s="10">
        <v>6937</v>
      </c>
    </row>
    <row r="6966" spans="18:18" ht="13.8">
      <c r="R6966" s="10">
        <v>6938</v>
      </c>
    </row>
    <row r="6967" spans="18:18" ht="13.8">
      <c r="R6967" s="10">
        <v>6939</v>
      </c>
    </row>
    <row r="6968" spans="18:18" ht="13.8">
      <c r="R6968" s="10">
        <v>6940</v>
      </c>
    </row>
    <row r="6969" spans="18:18" ht="13.8">
      <c r="R6969" s="10">
        <v>6941</v>
      </c>
    </row>
    <row r="6970" spans="18:18" ht="13.8">
      <c r="R6970" s="10">
        <v>6942</v>
      </c>
    </row>
    <row r="6971" spans="18:18" ht="13.8">
      <c r="R6971" s="10">
        <v>6943</v>
      </c>
    </row>
    <row r="6972" spans="18:18" ht="13.8">
      <c r="R6972" s="10">
        <v>6944</v>
      </c>
    </row>
    <row r="6973" spans="18:18" ht="13.8">
      <c r="R6973" s="10">
        <v>6945</v>
      </c>
    </row>
    <row r="6974" spans="18:18" ht="13.8">
      <c r="R6974" s="10">
        <v>6946</v>
      </c>
    </row>
    <row r="6975" spans="18:18" ht="13.8">
      <c r="R6975" s="10">
        <v>6947</v>
      </c>
    </row>
    <row r="6976" spans="18:18" ht="13.8">
      <c r="R6976" s="10">
        <v>6948</v>
      </c>
    </row>
    <row r="6977" spans="18:18" ht="13.8">
      <c r="R6977" s="10">
        <v>6949</v>
      </c>
    </row>
    <row r="6978" spans="18:18" ht="13.8">
      <c r="R6978" s="10">
        <v>6950</v>
      </c>
    </row>
    <row r="6979" spans="18:18" ht="13.8">
      <c r="R6979" s="10">
        <v>6951</v>
      </c>
    </row>
    <row r="6980" spans="18:18" ht="13.8">
      <c r="R6980" s="10">
        <v>6952</v>
      </c>
    </row>
    <row r="6981" spans="18:18" ht="13.8">
      <c r="R6981" s="10">
        <v>6953</v>
      </c>
    </row>
    <row r="6982" spans="18:18" ht="13.8">
      <c r="R6982" s="10">
        <v>6954</v>
      </c>
    </row>
    <row r="6983" spans="18:18" ht="13.8">
      <c r="R6983" s="10">
        <v>6955</v>
      </c>
    </row>
    <row r="6984" spans="18:18" ht="13.8">
      <c r="R6984" s="10">
        <v>6956</v>
      </c>
    </row>
    <row r="6985" spans="18:18" ht="13.8">
      <c r="R6985" s="10">
        <v>6957</v>
      </c>
    </row>
    <row r="6986" spans="18:18" ht="13.8">
      <c r="R6986" s="10">
        <v>6958</v>
      </c>
    </row>
    <row r="6987" spans="18:18" ht="13.8">
      <c r="R6987" s="10">
        <v>6959</v>
      </c>
    </row>
    <row r="6988" spans="18:18" ht="13.8">
      <c r="R6988" s="10">
        <v>6960</v>
      </c>
    </row>
    <row r="6989" spans="18:18" ht="13.8">
      <c r="R6989" s="10">
        <v>6961</v>
      </c>
    </row>
    <row r="6990" spans="18:18" ht="13.8">
      <c r="R6990" s="10">
        <v>6962</v>
      </c>
    </row>
    <row r="6991" spans="18:18" ht="13.8">
      <c r="R6991" s="10">
        <v>6963</v>
      </c>
    </row>
    <row r="6992" spans="18:18" ht="13.8">
      <c r="R6992" s="10">
        <v>6964</v>
      </c>
    </row>
    <row r="6993" spans="18:18" ht="13.8">
      <c r="R6993" s="10">
        <v>6965</v>
      </c>
    </row>
    <row r="6994" spans="18:18" ht="13.8">
      <c r="R6994" s="10">
        <v>6966</v>
      </c>
    </row>
    <row r="6995" spans="18:18" ht="13.8">
      <c r="R6995" s="10">
        <v>6967</v>
      </c>
    </row>
    <row r="6996" spans="18:18" ht="13.8">
      <c r="R6996" s="10">
        <v>6968</v>
      </c>
    </row>
    <row r="6997" spans="18:18" ht="13.8">
      <c r="R6997" s="10">
        <v>6969</v>
      </c>
    </row>
    <row r="6998" spans="18:18" ht="13.8">
      <c r="R6998" s="10">
        <v>6970</v>
      </c>
    </row>
    <row r="6999" spans="18:18" ht="13.8">
      <c r="R6999" s="10">
        <v>6971</v>
      </c>
    </row>
    <row r="7000" spans="18:18" ht="13.8">
      <c r="R7000" s="10">
        <v>6972</v>
      </c>
    </row>
    <row r="7001" spans="18:18" ht="13.8">
      <c r="R7001" s="10">
        <v>6973</v>
      </c>
    </row>
    <row r="7002" spans="18:18" ht="13.8">
      <c r="R7002" s="10">
        <v>6974</v>
      </c>
    </row>
    <row r="7003" spans="18:18" ht="13.8">
      <c r="R7003" s="10">
        <v>6975</v>
      </c>
    </row>
    <row r="7004" spans="18:18" ht="13.8">
      <c r="R7004" s="10">
        <v>6976</v>
      </c>
    </row>
    <row r="7005" spans="18:18" ht="13.8">
      <c r="R7005" s="10">
        <v>6977</v>
      </c>
    </row>
    <row r="7006" spans="18:18" ht="13.8">
      <c r="R7006" s="10">
        <v>6978</v>
      </c>
    </row>
    <row r="7007" spans="18:18" ht="13.8">
      <c r="R7007" s="10">
        <v>6979</v>
      </c>
    </row>
    <row r="7008" spans="18:18" ht="13.8">
      <c r="R7008" s="10">
        <v>6980</v>
      </c>
    </row>
    <row r="7009" spans="18:18" ht="13.8">
      <c r="R7009" s="10">
        <v>6981</v>
      </c>
    </row>
    <row r="7010" spans="18:18" ht="13.8">
      <c r="R7010" s="10">
        <v>6982</v>
      </c>
    </row>
    <row r="7011" spans="18:18" ht="13.8">
      <c r="R7011" s="10">
        <v>6983</v>
      </c>
    </row>
    <row r="7012" spans="18:18" ht="13.8">
      <c r="R7012" s="10">
        <v>6984</v>
      </c>
    </row>
    <row r="7013" spans="18:18" ht="13.8">
      <c r="R7013" s="10">
        <v>6985</v>
      </c>
    </row>
    <row r="7014" spans="18:18" ht="13.8">
      <c r="R7014" s="10">
        <v>6986</v>
      </c>
    </row>
    <row r="7015" spans="18:18" ht="13.8">
      <c r="R7015" s="10">
        <v>6987</v>
      </c>
    </row>
    <row r="7016" spans="18:18" ht="13.8">
      <c r="R7016" s="10">
        <v>6988</v>
      </c>
    </row>
    <row r="7017" spans="18:18" ht="13.8">
      <c r="R7017" s="10">
        <v>6989</v>
      </c>
    </row>
    <row r="7018" spans="18:18" ht="13.8">
      <c r="R7018" s="10">
        <v>6990</v>
      </c>
    </row>
    <row r="7019" spans="18:18" ht="13.8">
      <c r="R7019" s="10">
        <v>6991</v>
      </c>
    </row>
    <row r="7020" spans="18:18" ht="13.8">
      <c r="R7020" s="10">
        <v>6992</v>
      </c>
    </row>
    <row r="7021" spans="18:18" ht="13.8">
      <c r="R7021" s="10">
        <v>6993</v>
      </c>
    </row>
    <row r="7022" spans="18:18" ht="13.8">
      <c r="R7022" s="10">
        <v>6994</v>
      </c>
    </row>
    <row r="7023" spans="18:18" ht="13.8">
      <c r="R7023" s="10">
        <v>6995</v>
      </c>
    </row>
    <row r="7024" spans="18:18" ht="13.8">
      <c r="R7024" s="10">
        <v>6996</v>
      </c>
    </row>
    <row r="7025" spans="18:18" ht="13.8">
      <c r="R7025" s="10">
        <v>6997</v>
      </c>
    </row>
    <row r="7026" spans="18:18" ht="13.8">
      <c r="R7026" s="10">
        <v>6998</v>
      </c>
    </row>
    <row r="7027" spans="18:18" ht="13.8">
      <c r="R7027" s="10">
        <v>6999</v>
      </c>
    </row>
    <row r="7028" spans="18:18" ht="13.8">
      <c r="R7028" s="10">
        <v>7000</v>
      </c>
    </row>
    <row r="7029" spans="18:18" ht="13.8">
      <c r="R7029" s="10">
        <v>7001</v>
      </c>
    </row>
    <row r="7030" spans="18:18" ht="13.8">
      <c r="R7030" s="10">
        <v>7002</v>
      </c>
    </row>
    <row r="7031" spans="18:18" ht="13.8">
      <c r="R7031" s="10">
        <v>7003</v>
      </c>
    </row>
    <row r="7032" spans="18:18" ht="13.8">
      <c r="R7032" s="10">
        <v>7004</v>
      </c>
    </row>
    <row r="7033" spans="18:18" ht="13.8">
      <c r="R7033" s="10">
        <v>7005</v>
      </c>
    </row>
    <row r="7034" spans="18:18" ht="13.8">
      <c r="R7034" s="10">
        <v>7006</v>
      </c>
    </row>
    <row r="7035" spans="18:18" ht="13.8">
      <c r="R7035" s="10">
        <v>7007</v>
      </c>
    </row>
    <row r="7036" spans="18:18" ht="13.8">
      <c r="R7036" s="10">
        <v>7008</v>
      </c>
    </row>
    <row r="7037" spans="18:18" ht="13.8">
      <c r="R7037" s="10">
        <v>7009</v>
      </c>
    </row>
    <row r="7038" spans="18:18" ht="13.8">
      <c r="R7038" s="10">
        <v>7010</v>
      </c>
    </row>
    <row r="7039" spans="18:18" ht="13.8">
      <c r="R7039" s="10">
        <v>7011</v>
      </c>
    </row>
    <row r="7040" spans="18:18" ht="13.8">
      <c r="R7040" s="10">
        <v>7012</v>
      </c>
    </row>
    <row r="7041" spans="18:18" ht="13.8">
      <c r="R7041" s="10">
        <v>7013</v>
      </c>
    </row>
    <row r="7042" spans="18:18" ht="13.8">
      <c r="R7042" s="10">
        <v>7014</v>
      </c>
    </row>
    <row r="7043" spans="18:18" ht="13.8">
      <c r="R7043" s="10">
        <v>7015</v>
      </c>
    </row>
    <row r="7044" spans="18:18" ht="13.8">
      <c r="R7044" s="10">
        <v>7016</v>
      </c>
    </row>
    <row r="7045" spans="18:18" ht="13.8">
      <c r="R7045" s="10">
        <v>7017</v>
      </c>
    </row>
    <row r="7046" spans="18:18" ht="13.8">
      <c r="R7046" s="10">
        <v>7018</v>
      </c>
    </row>
    <row r="7047" spans="18:18" ht="13.8">
      <c r="R7047" s="10">
        <v>7019</v>
      </c>
    </row>
    <row r="7048" spans="18:18" ht="13.8">
      <c r="R7048" s="10">
        <v>7020</v>
      </c>
    </row>
    <row r="7049" spans="18:18" ht="13.8">
      <c r="R7049" s="10">
        <v>7021</v>
      </c>
    </row>
    <row r="7050" spans="18:18" ht="13.8">
      <c r="R7050" s="10">
        <v>7022</v>
      </c>
    </row>
    <row r="7051" spans="18:18" ht="13.8">
      <c r="R7051" s="10">
        <v>7023</v>
      </c>
    </row>
    <row r="7052" spans="18:18" ht="13.8">
      <c r="R7052" s="10">
        <v>7024</v>
      </c>
    </row>
    <row r="7053" spans="18:18" ht="13.8">
      <c r="R7053" s="10">
        <v>7025</v>
      </c>
    </row>
    <row r="7054" spans="18:18" ht="13.8">
      <c r="R7054" s="10">
        <v>7026</v>
      </c>
    </row>
    <row r="7055" spans="18:18" ht="13.8">
      <c r="R7055" s="10">
        <v>7027</v>
      </c>
    </row>
    <row r="7056" spans="18:18" ht="13.8">
      <c r="R7056" s="10">
        <v>7028</v>
      </c>
    </row>
    <row r="7057" spans="18:18" ht="13.8">
      <c r="R7057" s="10">
        <v>7029</v>
      </c>
    </row>
    <row r="7058" spans="18:18" ht="13.8">
      <c r="R7058" s="10">
        <v>7030</v>
      </c>
    </row>
    <row r="7059" spans="18:18" ht="13.8">
      <c r="R7059" s="10">
        <v>7031</v>
      </c>
    </row>
    <row r="7060" spans="18:18" ht="13.8">
      <c r="R7060" s="10">
        <v>7032</v>
      </c>
    </row>
    <row r="7061" spans="18:18" ht="13.8">
      <c r="R7061" s="10">
        <v>7033</v>
      </c>
    </row>
    <row r="7062" spans="18:18" ht="13.8">
      <c r="R7062" s="10">
        <v>7034</v>
      </c>
    </row>
    <row r="7063" spans="18:18" ht="13.8">
      <c r="R7063" s="10">
        <v>7035</v>
      </c>
    </row>
    <row r="7064" spans="18:18" ht="13.8">
      <c r="R7064" s="10">
        <v>7036</v>
      </c>
    </row>
    <row r="7065" spans="18:18" ht="13.8">
      <c r="R7065" s="10">
        <v>7037</v>
      </c>
    </row>
    <row r="7066" spans="18:18" ht="13.8">
      <c r="R7066" s="10">
        <v>7038</v>
      </c>
    </row>
    <row r="7067" spans="18:18" ht="13.8">
      <c r="R7067" s="10">
        <v>7039</v>
      </c>
    </row>
    <row r="7068" spans="18:18" ht="13.8">
      <c r="R7068" s="10">
        <v>7040</v>
      </c>
    </row>
    <row r="7069" spans="18:18" ht="13.8">
      <c r="R7069" s="10">
        <v>7041</v>
      </c>
    </row>
    <row r="7070" spans="18:18" ht="13.8">
      <c r="R7070" s="10">
        <v>7042</v>
      </c>
    </row>
    <row r="7071" spans="18:18" ht="13.8">
      <c r="R7071" s="10">
        <v>7043</v>
      </c>
    </row>
    <row r="7072" spans="18:18" ht="13.8">
      <c r="R7072" s="10">
        <v>7044</v>
      </c>
    </row>
    <row r="7073" spans="18:18" ht="13.8">
      <c r="R7073" s="10">
        <v>7045</v>
      </c>
    </row>
    <row r="7074" spans="18:18" ht="13.8">
      <c r="R7074" s="10">
        <v>7046</v>
      </c>
    </row>
    <row r="7075" spans="18:18" ht="13.8">
      <c r="R7075" s="10">
        <v>7047</v>
      </c>
    </row>
    <row r="7076" spans="18:18" ht="13.8">
      <c r="R7076" s="10">
        <v>7048</v>
      </c>
    </row>
    <row r="7077" spans="18:18" ht="13.8">
      <c r="R7077" s="10">
        <v>7049</v>
      </c>
    </row>
    <row r="7078" spans="18:18" ht="13.8">
      <c r="R7078" s="10">
        <v>7050</v>
      </c>
    </row>
    <row r="7079" spans="18:18" ht="13.8">
      <c r="R7079" s="10">
        <v>7051</v>
      </c>
    </row>
    <row r="7080" spans="18:18" ht="13.8">
      <c r="R7080" s="10">
        <v>7052</v>
      </c>
    </row>
    <row r="7081" spans="18:18" ht="13.8">
      <c r="R7081" s="10">
        <v>7053</v>
      </c>
    </row>
    <row r="7082" spans="18:18" ht="13.8">
      <c r="R7082" s="10">
        <v>7054</v>
      </c>
    </row>
    <row r="7083" spans="18:18" ht="13.8">
      <c r="R7083" s="10">
        <v>7055</v>
      </c>
    </row>
    <row r="7084" spans="18:18" ht="13.8">
      <c r="R7084" s="10">
        <v>7056</v>
      </c>
    </row>
    <row r="7085" spans="18:18" ht="13.8">
      <c r="R7085" s="10">
        <v>7057</v>
      </c>
    </row>
    <row r="7086" spans="18:18" ht="13.8">
      <c r="R7086" s="10">
        <v>7058</v>
      </c>
    </row>
    <row r="7087" spans="18:18" ht="13.8">
      <c r="R7087" s="10">
        <v>7059</v>
      </c>
    </row>
    <row r="7088" spans="18:18" ht="13.8">
      <c r="R7088" s="10">
        <v>7060</v>
      </c>
    </row>
    <row r="7089" spans="18:18" ht="13.8">
      <c r="R7089" s="10">
        <v>7061</v>
      </c>
    </row>
    <row r="7090" spans="18:18" ht="13.8">
      <c r="R7090" s="10">
        <v>7062</v>
      </c>
    </row>
    <row r="7091" spans="18:18" ht="13.8">
      <c r="R7091" s="10">
        <v>7063</v>
      </c>
    </row>
    <row r="7092" spans="18:18" ht="13.8">
      <c r="R7092" s="10">
        <v>7064</v>
      </c>
    </row>
    <row r="7093" spans="18:18" ht="13.8">
      <c r="R7093" s="10">
        <v>7065</v>
      </c>
    </row>
    <row r="7094" spans="18:18" ht="13.8">
      <c r="R7094" s="10">
        <v>7066</v>
      </c>
    </row>
    <row r="7095" spans="18:18" ht="13.8">
      <c r="R7095" s="10">
        <v>7067</v>
      </c>
    </row>
    <row r="7096" spans="18:18" ht="13.8">
      <c r="R7096" s="10">
        <v>7068</v>
      </c>
    </row>
    <row r="7097" spans="18:18" ht="13.8">
      <c r="R7097" s="10">
        <v>7069</v>
      </c>
    </row>
    <row r="7098" spans="18:18" ht="13.8">
      <c r="R7098" s="10">
        <v>7070</v>
      </c>
    </row>
    <row r="7099" spans="18:18" ht="13.8">
      <c r="R7099" s="10">
        <v>7071</v>
      </c>
    </row>
    <row r="7100" spans="18:18" ht="13.8">
      <c r="R7100" s="10">
        <v>7072</v>
      </c>
    </row>
    <row r="7101" spans="18:18" ht="13.8">
      <c r="R7101" s="10">
        <v>7073</v>
      </c>
    </row>
    <row r="7102" spans="18:18" ht="13.8">
      <c r="R7102" s="10">
        <v>7074</v>
      </c>
    </row>
    <row r="7103" spans="18:18" ht="13.8">
      <c r="R7103" s="10">
        <v>7075</v>
      </c>
    </row>
    <row r="7104" spans="18:18" ht="13.8">
      <c r="R7104" s="10">
        <v>7076</v>
      </c>
    </row>
    <row r="7105" spans="18:18" ht="13.8">
      <c r="R7105" s="10">
        <v>7077</v>
      </c>
    </row>
    <row r="7106" spans="18:18" ht="13.8">
      <c r="R7106" s="10">
        <v>7078</v>
      </c>
    </row>
    <row r="7107" spans="18:18" ht="13.8">
      <c r="R7107" s="10">
        <v>7079</v>
      </c>
    </row>
    <row r="7108" spans="18:18" ht="13.8">
      <c r="R7108" s="10">
        <v>7080</v>
      </c>
    </row>
    <row r="7109" spans="18:18" ht="13.8">
      <c r="R7109" s="10">
        <v>7081</v>
      </c>
    </row>
    <row r="7110" spans="18:18" ht="13.8">
      <c r="R7110" s="10">
        <v>7082</v>
      </c>
    </row>
    <row r="7111" spans="18:18" ht="13.8">
      <c r="R7111" s="10">
        <v>7083</v>
      </c>
    </row>
    <row r="7112" spans="18:18" ht="13.8">
      <c r="R7112" s="10">
        <v>7084</v>
      </c>
    </row>
    <row r="7113" spans="18:18" ht="13.8">
      <c r="R7113" s="10">
        <v>7085</v>
      </c>
    </row>
    <row r="7114" spans="18:18" ht="13.8">
      <c r="R7114" s="10">
        <v>7086</v>
      </c>
    </row>
    <row r="7115" spans="18:18" ht="13.8">
      <c r="R7115" s="10">
        <v>7087</v>
      </c>
    </row>
    <row r="7116" spans="18:18" ht="13.8">
      <c r="R7116" s="10">
        <v>7088</v>
      </c>
    </row>
    <row r="7117" spans="18:18" ht="13.8">
      <c r="R7117" s="10">
        <v>7089</v>
      </c>
    </row>
    <row r="7118" spans="18:18" ht="13.8">
      <c r="R7118" s="10">
        <v>7090</v>
      </c>
    </row>
    <row r="7119" spans="18:18" ht="13.8">
      <c r="R7119" s="10">
        <v>7091</v>
      </c>
    </row>
    <row r="7120" spans="18:18" ht="13.8">
      <c r="R7120" s="10">
        <v>7092</v>
      </c>
    </row>
    <row r="7121" spans="18:18" ht="13.8">
      <c r="R7121" s="10">
        <v>7093</v>
      </c>
    </row>
    <row r="7122" spans="18:18" ht="13.8">
      <c r="R7122" s="10">
        <v>7094</v>
      </c>
    </row>
    <row r="7123" spans="18:18" ht="13.8">
      <c r="R7123" s="10">
        <v>7095</v>
      </c>
    </row>
    <row r="7124" spans="18:18" ht="13.8">
      <c r="R7124" s="10">
        <v>7096</v>
      </c>
    </row>
    <row r="7125" spans="18:18" ht="13.8">
      <c r="R7125" s="10">
        <v>7097</v>
      </c>
    </row>
    <row r="7126" spans="18:18" ht="13.8">
      <c r="R7126" s="10">
        <v>7098</v>
      </c>
    </row>
    <row r="7127" spans="18:18" ht="13.8">
      <c r="R7127" s="10">
        <v>7099</v>
      </c>
    </row>
    <row r="7128" spans="18:18" ht="13.8">
      <c r="R7128" s="10">
        <v>7100</v>
      </c>
    </row>
    <row r="7129" spans="18:18" ht="13.8">
      <c r="R7129" s="10">
        <v>7101</v>
      </c>
    </row>
    <row r="7130" spans="18:18" ht="13.8">
      <c r="R7130" s="10">
        <v>7102</v>
      </c>
    </row>
    <row r="7131" spans="18:18" ht="13.8">
      <c r="R7131" s="10">
        <v>7103</v>
      </c>
    </row>
    <row r="7132" spans="18:18" ht="13.8">
      <c r="R7132" s="10">
        <v>7104</v>
      </c>
    </row>
    <row r="7133" spans="18:18" ht="13.8">
      <c r="R7133" s="10">
        <v>7105</v>
      </c>
    </row>
    <row r="7134" spans="18:18" ht="13.8">
      <c r="R7134" s="10">
        <v>7106</v>
      </c>
    </row>
    <row r="7135" spans="18:18" ht="13.8">
      <c r="R7135" s="10">
        <v>7107</v>
      </c>
    </row>
    <row r="7136" spans="18:18" ht="13.8">
      <c r="R7136" s="10">
        <v>7108</v>
      </c>
    </row>
    <row r="7137" spans="18:18" ht="13.8">
      <c r="R7137" s="10">
        <v>7109</v>
      </c>
    </row>
    <row r="7138" spans="18:18" ht="13.8">
      <c r="R7138" s="10">
        <v>7110</v>
      </c>
    </row>
    <row r="7139" spans="18:18" ht="13.8">
      <c r="R7139" s="10">
        <v>7111</v>
      </c>
    </row>
    <row r="7140" spans="18:18" ht="13.8">
      <c r="R7140" s="10">
        <v>7112</v>
      </c>
    </row>
    <row r="7141" spans="18:18" ht="13.8">
      <c r="R7141" s="10">
        <v>7113</v>
      </c>
    </row>
    <row r="7142" spans="18:18" ht="13.8">
      <c r="R7142" s="10">
        <v>7114</v>
      </c>
    </row>
    <row r="7143" spans="18:18" ht="13.8">
      <c r="R7143" s="10">
        <v>7115</v>
      </c>
    </row>
    <row r="7144" spans="18:18" ht="13.8">
      <c r="R7144" s="10">
        <v>7116</v>
      </c>
    </row>
    <row r="7145" spans="18:18" ht="13.8">
      <c r="R7145" s="10">
        <v>7117</v>
      </c>
    </row>
    <row r="7146" spans="18:18" ht="13.8">
      <c r="R7146" s="10">
        <v>7118</v>
      </c>
    </row>
    <row r="7147" spans="18:18" ht="13.8">
      <c r="R7147" s="10">
        <v>7119</v>
      </c>
    </row>
    <row r="7148" spans="18:18" ht="13.8">
      <c r="R7148" s="10">
        <v>7120</v>
      </c>
    </row>
    <row r="7149" spans="18:18" ht="13.8">
      <c r="R7149" s="10">
        <v>7121</v>
      </c>
    </row>
    <row r="7150" spans="18:18" ht="13.8">
      <c r="R7150" s="10">
        <v>7122</v>
      </c>
    </row>
    <row r="7151" spans="18:18" ht="13.8">
      <c r="R7151" s="10">
        <v>7123</v>
      </c>
    </row>
    <row r="7152" spans="18:18" ht="13.8">
      <c r="R7152" s="10">
        <v>7124</v>
      </c>
    </row>
    <row r="7153" spans="18:18" ht="13.8">
      <c r="R7153" s="10">
        <v>7125</v>
      </c>
    </row>
    <row r="7154" spans="18:18" ht="13.8">
      <c r="R7154" s="10">
        <v>7126</v>
      </c>
    </row>
    <row r="7155" spans="18:18" ht="13.8">
      <c r="R7155" s="10">
        <v>7127</v>
      </c>
    </row>
    <row r="7156" spans="18:18" ht="13.8">
      <c r="R7156" s="10">
        <v>7128</v>
      </c>
    </row>
    <row r="7157" spans="18:18" ht="13.8">
      <c r="R7157" s="10">
        <v>7129</v>
      </c>
    </row>
    <row r="7158" spans="18:18" ht="13.8">
      <c r="R7158" s="10">
        <v>7130</v>
      </c>
    </row>
    <row r="7159" spans="18:18" ht="13.8">
      <c r="R7159" s="10">
        <v>7131</v>
      </c>
    </row>
    <row r="7160" spans="18:18" ht="13.8">
      <c r="R7160" s="10">
        <v>7132</v>
      </c>
    </row>
    <row r="7161" spans="18:18" ht="13.8">
      <c r="R7161" s="10">
        <v>7133</v>
      </c>
    </row>
    <row r="7162" spans="18:18" ht="13.8">
      <c r="R7162" s="10">
        <v>7134</v>
      </c>
    </row>
    <row r="7163" spans="18:18" ht="13.8">
      <c r="R7163" s="10">
        <v>7135</v>
      </c>
    </row>
    <row r="7164" spans="18:18" ht="13.8">
      <c r="R7164" s="10">
        <v>7136</v>
      </c>
    </row>
    <row r="7165" spans="18:18" ht="13.8">
      <c r="R7165" s="10">
        <v>7137</v>
      </c>
    </row>
    <row r="7166" spans="18:18" ht="13.8">
      <c r="R7166" s="10">
        <v>7138</v>
      </c>
    </row>
    <row r="7167" spans="18:18" ht="13.8">
      <c r="R7167" s="10">
        <v>7139</v>
      </c>
    </row>
    <row r="7168" spans="18:18" ht="13.8">
      <c r="R7168" s="10">
        <v>7140</v>
      </c>
    </row>
    <row r="7169" spans="18:18" ht="13.8">
      <c r="R7169" s="10">
        <v>7141</v>
      </c>
    </row>
    <row r="7170" spans="18:18" ht="13.8">
      <c r="R7170" s="10">
        <v>7142</v>
      </c>
    </row>
    <row r="7171" spans="18:18" ht="13.8">
      <c r="R7171" s="10">
        <v>7143</v>
      </c>
    </row>
    <row r="7172" spans="18:18" ht="13.8">
      <c r="R7172" s="10">
        <v>7144</v>
      </c>
    </row>
    <row r="7173" spans="18:18" ht="13.8">
      <c r="R7173" s="10">
        <v>7145</v>
      </c>
    </row>
    <row r="7174" spans="18:18" ht="13.8">
      <c r="R7174" s="10">
        <v>7146</v>
      </c>
    </row>
    <row r="7175" spans="18:18" ht="13.8">
      <c r="R7175" s="10">
        <v>7147</v>
      </c>
    </row>
    <row r="7176" spans="18:18" ht="13.8">
      <c r="R7176" s="10">
        <v>7148</v>
      </c>
    </row>
    <row r="7177" spans="18:18" ht="13.8">
      <c r="R7177" s="10">
        <v>7149</v>
      </c>
    </row>
    <row r="7178" spans="18:18" ht="13.8">
      <c r="R7178" s="10">
        <v>7150</v>
      </c>
    </row>
    <row r="7179" spans="18:18" ht="13.8">
      <c r="R7179" s="10">
        <v>7151</v>
      </c>
    </row>
    <row r="7180" spans="18:18" ht="13.8">
      <c r="R7180" s="10">
        <v>7152</v>
      </c>
    </row>
    <row r="7181" spans="18:18" ht="13.8">
      <c r="R7181" s="10">
        <v>7153</v>
      </c>
    </row>
    <row r="7182" spans="18:18" ht="13.8">
      <c r="R7182" s="10">
        <v>7154</v>
      </c>
    </row>
    <row r="7183" spans="18:18" ht="13.8">
      <c r="R7183" s="10">
        <v>7155</v>
      </c>
    </row>
    <row r="7184" spans="18:18" ht="13.8">
      <c r="R7184" s="10">
        <v>7156</v>
      </c>
    </row>
    <row r="7185" spans="18:18" ht="13.8">
      <c r="R7185" s="10">
        <v>7157</v>
      </c>
    </row>
    <row r="7186" spans="18:18" ht="13.8">
      <c r="R7186" s="10">
        <v>7158</v>
      </c>
    </row>
    <row r="7187" spans="18:18" ht="13.8">
      <c r="R7187" s="10">
        <v>7159</v>
      </c>
    </row>
    <row r="7188" spans="18:18" ht="13.8">
      <c r="R7188" s="10">
        <v>7160</v>
      </c>
    </row>
    <row r="7189" spans="18:18" ht="13.8">
      <c r="R7189" s="10">
        <v>7161</v>
      </c>
    </row>
    <row r="7190" spans="18:18" ht="13.8">
      <c r="R7190" s="10">
        <v>7162</v>
      </c>
    </row>
    <row r="7191" spans="18:18" ht="13.8">
      <c r="R7191" s="10">
        <v>7163</v>
      </c>
    </row>
    <row r="7192" spans="18:18" ht="13.8">
      <c r="R7192" s="10">
        <v>7164</v>
      </c>
    </row>
    <row r="7193" spans="18:18" ht="13.8">
      <c r="R7193" s="10">
        <v>7165</v>
      </c>
    </row>
    <row r="7194" spans="18:18" ht="13.8">
      <c r="R7194" s="10">
        <v>7166</v>
      </c>
    </row>
    <row r="7195" spans="18:18" ht="13.8">
      <c r="R7195" s="10">
        <v>7167</v>
      </c>
    </row>
    <row r="7196" spans="18:18" ht="13.8">
      <c r="R7196" s="10">
        <v>7168</v>
      </c>
    </row>
    <row r="7197" spans="18:18" ht="13.8">
      <c r="R7197" s="10">
        <v>7169</v>
      </c>
    </row>
    <row r="7198" spans="18:18" ht="13.8">
      <c r="R7198" s="10">
        <v>7170</v>
      </c>
    </row>
    <row r="7199" spans="18:18" ht="13.8">
      <c r="R7199" s="10">
        <v>7171</v>
      </c>
    </row>
    <row r="7200" spans="18:18" ht="13.8">
      <c r="R7200" s="10">
        <v>7172</v>
      </c>
    </row>
    <row r="7201" spans="18:18" ht="13.8">
      <c r="R7201" s="10">
        <v>7173</v>
      </c>
    </row>
    <row r="7202" spans="18:18" ht="13.8">
      <c r="R7202" s="10">
        <v>7174</v>
      </c>
    </row>
    <row r="7203" spans="18:18" ht="13.8">
      <c r="R7203" s="10">
        <v>7175</v>
      </c>
    </row>
    <row r="7204" spans="18:18" ht="13.8">
      <c r="R7204" s="10">
        <v>7176</v>
      </c>
    </row>
    <row r="7205" spans="18:18" ht="13.8">
      <c r="R7205" s="10">
        <v>7177</v>
      </c>
    </row>
    <row r="7206" spans="18:18" ht="13.8">
      <c r="R7206" s="10">
        <v>7178</v>
      </c>
    </row>
    <row r="7207" spans="18:18" ht="13.8">
      <c r="R7207" s="10">
        <v>7179</v>
      </c>
    </row>
    <row r="7208" spans="18:18" ht="13.8">
      <c r="R7208" s="10">
        <v>7180</v>
      </c>
    </row>
    <row r="7209" spans="18:18" ht="13.8">
      <c r="R7209" s="10">
        <v>7181</v>
      </c>
    </row>
    <row r="7210" spans="18:18" ht="13.8">
      <c r="R7210" s="10">
        <v>7182</v>
      </c>
    </row>
    <row r="7211" spans="18:18" ht="13.8">
      <c r="R7211" s="10">
        <v>7183</v>
      </c>
    </row>
    <row r="7212" spans="18:18" ht="13.8">
      <c r="R7212" s="10">
        <v>7184</v>
      </c>
    </row>
    <row r="7213" spans="18:18" ht="13.8">
      <c r="R7213" s="10">
        <v>7185</v>
      </c>
    </row>
    <row r="7214" spans="18:18" ht="13.8">
      <c r="R7214" s="10">
        <v>7186</v>
      </c>
    </row>
    <row r="7215" spans="18:18" ht="13.8">
      <c r="R7215" s="10">
        <v>7187</v>
      </c>
    </row>
    <row r="7216" spans="18:18" ht="13.8">
      <c r="R7216" s="10">
        <v>7188</v>
      </c>
    </row>
    <row r="7217" spans="18:18" ht="13.8">
      <c r="R7217" s="10">
        <v>7189</v>
      </c>
    </row>
    <row r="7218" spans="18:18" ht="13.8">
      <c r="R7218" s="10">
        <v>7190</v>
      </c>
    </row>
    <row r="7219" spans="18:18" ht="13.8">
      <c r="R7219" s="10">
        <v>7191</v>
      </c>
    </row>
    <row r="7220" spans="18:18" ht="13.8">
      <c r="R7220" s="10">
        <v>7192</v>
      </c>
    </row>
    <row r="7221" spans="18:18" ht="13.8">
      <c r="R7221" s="10">
        <v>7193</v>
      </c>
    </row>
    <row r="7222" spans="18:18" ht="13.8">
      <c r="R7222" s="10">
        <v>7194</v>
      </c>
    </row>
    <row r="7223" spans="18:18" ht="13.8">
      <c r="R7223" s="10">
        <v>7195</v>
      </c>
    </row>
    <row r="7224" spans="18:18" ht="13.8">
      <c r="R7224" s="10">
        <v>7196</v>
      </c>
    </row>
    <row r="7225" spans="18:18" ht="13.8">
      <c r="R7225" s="10">
        <v>7197</v>
      </c>
    </row>
    <row r="7226" spans="18:18" ht="13.8">
      <c r="R7226" s="10">
        <v>7198</v>
      </c>
    </row>
    <row r="7227" spans="18:18" ht="13.8">
      <c r="R7227" s="10">
        <v>7199</v>
      </c>
    </row>
    <row r="7228" spans="18:18" ht="13.8">
      <c r="R7228" s="10">
        <v>7200</v>
      </c>
    </row>
    <row r="7229" spans="18:18" ht="13.8">
      <c r="R7229" s="10">
        <v>7201</v>
      </c>
    </row>
    <row r="7230" spans="18:18" ht="13.8">
      <c r="R7230" s="10">
        <v>7202</v>
      </c>
    </row>
    <row r="7231" spans="18:18" ht="13.8">
      <c r="R7231" s="10">
        <v>7203</v>
      </c>
    </row>
    <row r="7232" spans="18:18" ht="13.8">
      <c r="R7232" s="10">
        <v>7204</v>
      </c>
    </row>
    <row r="7233" spans="18:18" ht="13.8">
      <c r="R7233" s="10">
        <v>7205</v>
      </c>
    </row>
    <row r="7234" spans="18:18" ht="13.8">
      <c r="R7234" s="10">
        <v>7206</v>
      </c>
    </row>
    <row r="7235" spans="18:18" ht="13.8">
      <c r="R7235" s="10">
        <v>7207</v>
      </c>
    </row>
    <row r="7236" spans="18:18" ht="13.8">
      <c r="R7236" s="10">
        <v>7208</v>
      </c>
    </row>
    <row r="7237" spans="18:18" ht="13.8">
      <c r="R7237" s="10">
        <v>7209</v>
      </c>
    </row>
    <row r="7238" spans="18:18" ht="13.8">
      <c r="R7238" s="10">
        <v>7210</v>
      </c>
    </row>
    <row r="7239" spans="18:18" ht="13.8">
      <c r="R7239" s="10">
        <v>7211</v>
      </c>
    </row>
    <row r="7240" spans="18:18" ht="13.8">
      <c r="R7240" s="10">
        <v>7212</v>
      </c>
    </row>
    <row r="7241" spans="18:18" ht="13.8">
      <c r="R7241" s="10">
        <v>7213</v>
      </c>
    </row>
    <row r="7242" spans="18:18" ht="13.8">
      <c r="R7242" s="10">
        <v>7214</v>
      </c>
    </row>
    <row r="7243" spans="18:18" ht="13.8">
      <c r="R7243" s="10">
        <v>7215</v>
      </c>
    </row>
    <row r="7244" spans="18:18" ht="13.8">
      <c r="R7244" s="10">
        <v>7216</v>
      </c>
    </row>
    <row r="7245" spans="18:18" ht="13.8">
      <c r="R7245" s="10">
        <v>7217</v>
      </c>
    </row>
    <row r="7246" spans="18:18" ht="13.8">
      <c r="R7246" s="10">
        <v>7218</v>
      </c>
    </row>
    <row r="7247" spans="18:18" ht="13.8">
      <c r="R7247" s="10">
        <v>7219</v>
      </c>
    </row>
    <row r="7248" spans="18:18" ht="13.8">
      <c r="R7248" s="10">
        <v>7220</v>
      </c>
    </row>
    <row r="7249" spans="18:18" ht="13.8">
      <c r="R7249" s="10">
        <v>7221</v>
      </c>
    </row>
    <row r="7250" spans="18:18" ht="13.8">
      <c r="R7250" s="10">
        <v>7222</v>
      </c>
    </row>
    <row r="7251" spans="18:18" ht="13.8">
      <c r="R7251" s="10">
        <v>7223</v>
      </c>
    </row>
    <row r="7252" spans="18:18" ht="13.8">
      <c r="R7252" s="10">
        <v>7224</v>
      </c>
    </row>
    <row r="7253" spans="18:18" ht="13.8">
      <c r="R7253" s="10">
        <v>7225</v>
      </c>
    </row>
    <row r="7254" spans="18:18" ht="13.8">
      <c r="R7254" s="10">
        <v>7226</v>
      </c>
    </row>
    <row r="7255" spans="18:18" ht="13.8">
      <c r="R7255" s="10">
        <v>7227</v>
      </c>
    </row>
    <row r="7256" spans="18:18" ht="13.8">
      <c r="R7256" s="10">
        <v>7228</v>
      </c>
    </row>
    <row r="7257" spans="18:18" ht="13.8">
      <c r="R7257" s="10">
        <v>7229</v>
      </c>
    </row>
    <row r="7258" spans="18:18" ht="13.8">
      <c r="R7258" s="10">
        <v>7230</v>
      </c>
    </row>
    <row r="7259" spans="18:18" ht="13.8">
      <c r="R7259" s="10">
        <v>7231</v>
      </c>
    </row>
    <row r="7260" spans="18:18" ht="13.8">
      <c r="R7260" s="10">
        <v>7232</v>
      </c>
    </row>
    <row r="7261" spans="18:18" ht="13.8">
      <c r="R7261" s="10">
        <v>7233</v>
      </c>
    </row>
    <row r="7262" spans="18:18" ht="13.8">
      <c r="R7262" s="10">
        <v>7234</v>
      </c>
    </row>
    <row r="7263" spans="18:18" ht="13.8">
      <c r="R7263" s="10">
        <v>7235</v>
      </c>
    </row>
    <row r="7264" spans="18:18" ht="13.8">
      <c r="R7264" s="10">
        <v>7236</v>
      </c>
    </row>
    <row r="7265" spans="18:18" ht="13.8">
      <c r="R7265" s="10">
        <v>7237</v>
      </c>
    </row>
    <row r="7266" spans="18:18" ht="13.8">
      <c r="R7266" s="10">
        <v>7238</v>
      </c>
    </row>
    <row r="7267" spans="18:18" ht="13.8">
      <c r="R7267" s="10">
        <v>7239</v>
      </c>
    </row>
    <row r="7268" spans="18:18" ht="13.8">
      <c r="R7268" s="10">
        <v>7240</v>
      </c>
    </row>
    <row r="7269" spans="18:18" ht="13.8">
      <c r="R7269" s="10">
        <v>7241</v>
      </c>
    </row>
    <row r="7270" spans="18:18" ht="13.8">
      <c r="R7270" s="10">
        <v>7242</v>
      </c>
    </row>
    <row r="7271" spans="18:18" ht="13.8">
      <c r="R7271" s="10">
        <v>7243</v>
      </c>
    </row>
    <row r="7272" spans="18:18" ht="13.8">
      <c r="R7272" s="10">
        <v>7244</v>
      </c>
    </row>
    <row r="7273" spans="18:18" ht="13.8">
      <c r="R7273" s="10">
        <v>7245</v>
      </c>
    </row>
    <row r="7274" spans="18:18" ht="13.8">
      <c r="R7274" s="10">
        <v>7246</v>
      </c>
    </row>
    <row r="7275" spans="18:18" ht="13.8">
      <c r="R7275" s="10">
        <v>7247</v>
      </c>
    </row>
    <row r="7276" spans="18:18" ht="13.8">
      <c r="R7276" s="10">
        <v>7248</v>
      </c>
    </row>
    <row r="7277" spans="18:18" ht="13.8">
      <c r="R7277" s="10">
        <v>7249</v>
      </c>
    </row>
    <row r="7278" spans="18:18" ht="13.8">
      <c r="R7278" s="10">
        <v>7250</v>
      </c>
    </row>
    <row r="7279" spans="18:18" ht="13.8">
      <c r="R7279" s="10">
        <v>7251</v>
      </c>
    </row>
    <row r="7280" spans="18:18" ht="13.8">
      <c r="R7280" s="10">
        <v>7252</v>
      </c>
    </row>
    <row r="7281" spans="18:18" ht="13.8">
      <c r="R7281" s="10">
        <v>7253</v>
      </c>
    </row>
    <row r="7282" spans="18:18" ht="13.8">
      <c r="R7282" s="10">
        <v>7254</v>
      </c>
    </row>
    <row r="7283" spans="18:18" ht="13.8">
      <c r="R7283" s="10">
        <v>7255</v>
      </c>
    </row>
    <row r="7284" spans="18:18" ht="13.8">
      <c r="R7284" s="10">
        <v>7256</v>
      </c>
    </row>
    <row r="7285" spans="18:18" ht="13.8">
      <c r="R7285" s="10">
        <v>7257</v>
      </c>
    </row>
    <row r="7286" spans="18:18" ht="13.8">
      <c r="R7286" s="10">
        <v>7258</v>
      </c>
    </row>
    <row r="7287" spans="18:18" ht="13.8">
      <c r="R7287" s="10">
        <v>7259</v>
      </c>
    </row>
    <row r="7288" spans="18:18" ht="13.8">
      <c r="R7288" s="10">
        <v>7260</v>
      </c>
    </row>
    <row r="7289" spans="18:18" ht="13.8">
      <c r="R7289" s="10">
        <v>7261</v>
      </c>
    </row>
    <row r="7290" spans="18:18" ht="13.8">
      <c r="R7290" s="10">
        <v>7262</v>
      </c>
    </row>
    <row r="7291" spans="18:18" ht="13.8">
      <c r="R7291" s="10">
        <v>7263</v>
      </c>
    </row>
    <row r="7292" spans="18:18" ht="13.8">
      <c r="R7292" s="10">
        <v>7264</v>
      </c>
    </row>
    <row r="7293" spans="18:18" ht="13.8">
      <c r="R7293" s="10">
        <v>7265</v>
      </c>
    </row>
    <row r="7294" spans="18:18" ht="13.8">
      <c r="R7294" s="10">
        <v>7266</v>
      </c>
    </row>
    <row r="7295" spans="18:18" ht="13.8">
      <c r="R7295" s="10">
        <v>7267</v>
      </c>
    </row>
    <row r="7296" spans="18:18" ht="13.8">
      <c r="R7296" s="10">
        <v>7268</v>
      </c>
    </row>
    <row r="7297" spans="18:18" ht="13.8">
      <c r="R7297" s="10">
        <v>7269</v>
      </c>
    </row>
    <row r="7298" spans="18:18" ht="13.8">
      <c r="R7298" s="10">
        <v>7270</v>
      </c>
    </row>
    <row r="7299" spans="18:18" ht="13.8">
      <c r="R7299" s="10">
        <v>7271</v>
      </c>
    </row>
    <row r="7300" spans="18:18" ht="13.8">
      <c r="R7300" s="10">
        <v>7272</v>
      </c>
    </row>
    <row r="7301" spans="18:18" ht="13.8">
      <c r="R7301" s="10">
        <v>7273</v>
      </c>
    </row>
    <row r="7302" spans="18:18" ht="13.8">
      <c r="R7302" s="10">
        <v>7274</v>
      </c>
    </row>
    <row r="7303" spans="18:18" ht="13.8">
      <c r="R7303" s="10">
        <v>7275</v>
      </c>
    </row>
    <row r="7304" spans="18:18" ht="13.8">
      <c r="R7304" s="10">
        <v>7276</v>
      </c>
    </row>
    <row r="7305" spans="18:18" ht="13.8">
      <c r="R7305" s="10">
        <v>7277</v>
      </c>
    </row>
    <row r="7306" spans="18:18" ht="13.8">
      <c r="R7306" s="10">
        <v>7278</v>
      </c>
    </row>
    <row r="7307" spans="18:18" ht="13.8">
      <c r="R7307" s="10">
        <v>7279</v>
      </c>
    </row>
    <row r="7308" spans="18:18" ht="13.8">
      <c r="R7308" s="10">
        <v>7280</v>
      </c>
    </row>
    <row r="7309" spans="18:18" ht="13.8">
      <c r="R7309" s="10">
        <v>7281</v>
      </c>
    </row>
    <row r="7310" spans="18:18" ht="13.8">
      <c r="R7310" s="10">
        <v>7282</v>
      </c>
    </row>
    <row r="7311" spans="18:18" ht="13.8">
      <c r="R7311" s="10">
        <v>7283</v>
      </c>
    </row>
    <row r="7312" spans="18:18" ht="13.8">
      <c r="R7312" s="10">
        <v>7284</v>
      </c>
    </row>
    <row r="7313" spans="18:18" ht="13.8">
      <c r="R7313" s="10">
        <v>7285</v>
      </c>
    </row>
    <row r="7314" spans="18:18" ht="13.8">
      <c r="R7314" s="10">
        <v>7286</v>
      </c>
    </row>
    <row r="7315" spans="18:18" ht="13.8">
      <c r="R7315" s="10">
        <v>7287</v>
      </c>
    </row>
    <row r="7316" spans="18:18" ht="13.8">
      <c r="R7316" s="10">
        <v>7288</v>
      </c>
    </row>
    <row r="7317" spans="18:18" ht="13.8">
      <c r="R7317" s="10">
        <v>7289</v>
      </c>
    </row>
    <row r="7318" spans="18:18" ht="13.8">
      <c r="R7318" s="10">
        <v>7290</v>
      </c>
    </row>
    <row r="7319" spans="18:18" ht="13.8">
      <c r="R7319" s="10">
        <v>7291</v>
      </c>
    </row>
    <row r="7320" spans="18:18" ht="13.8">
      <c r="R7320" s="10">
        <v>7292</v>
      </c>
    </row>
    <row r="7321" spans="18:18" ht="13.8">
      <c r="R7321" s="10">
        <v>7293</v>
      </c>
    </row>
    <row r="7322" spans="18:18" ht="13.8">
      <c r="R7322" s="10">
        <v>7294</v>
      </c>
    </row>
    <row r="7323" spans="18:18" ht="13.8">
      <c r="R7323" s="10">
        <v>7295</v>
      </c>
    </row>
    <row r="7324" spans="18:18" ht="13.8">
      <c r="R7324" s="10">
        <v>7296</v>
      </c>
    </row>
    <row r="7325" spans="18:18" ht="13.8">
      <c r="R7325" s="10">
        <v>7297</v>
      </c>
    </row>
    <row r="7326" spans="18:18" ht="13.8">
      <c r="R7326" s="10">
        <v>7298</v>
      </c>
    </row>
    <row r="7327" spans="18:18" ht="13.8">
      <c r="R7327" s="10">
        <v>7299</v>
      </c>
    </row>
    <row r="7328" spans="18:18" ht="13.8">
      <c r="R7328" s="10">
        <v>7300</v>
      </c>
    </row>
    <row r="7329" spans="18:18" ht="13.8">
      <c r="R7329" s="10">
        <v>7301</v>
      </c>
    </row>
    <row r="7330" spans="18:18" ht="13.8">
      <c r="R7330" s="10">
        <v>7302</v>
      </c>
    </row>
    <row r="7331" spans="18:18" ht="13.8">
      <c r="R7331" s="10">
        <v>7303</v>
      </c>
    </row>
    <row r="7332" spans="18:18" ht="13.8">
      <c r="R7332" s="10">
        <v>7304</v>
      </c>
    </row>
    <row r="7333" spans="18:18" ht="13.8">
      <c r="R7333" s="10">
        <v>7305</v>
      </c>
    </row>
    <row r="7334" spans="18:18" ht="13.8">
      <c r="R7334" s="10">
        <v>7306</v>
      </c>
    </row>
    <row r="7335" spans="18:18" ht="13.8">
      <c r="R7335" s="10">
        <v>7307</v>
      </c>
    </row>
    <row r="7336" spans="18:18" ht="13.8">
      <c r="R7336" s="10">
        <v>7308</v>
      </c>
    </row>
    <row r="7337" spans="18:18" ht="13.8">
      <c r="R7337" s="10">
        <v>7309</v>
      </c>
    </row>
    <row r="7338" spans="18:18" ht="13.8">
      <c r="R7338" s="10">
        <v>7310</v>
      </c>
    </row>
    <row r="7339" spans="18:18" ht="13.8">
      <c r="R7339" s="10">
        <v>7311</v>
      </c>
    </row>
    <row r="7340" spans="18:18" ht="13.8">
      <c r="R7340" s="10">
        <v>7312</v>
      </c>
    </row>
    <row r="7341" spans="18:18" ht="13.8">
      <c r="R7341" s="10">
        <v>7313</v>
      </c>
    </row>
    <row r="7342" spans="18:18" ht="13.8">
      <c r="R7342" s="10">
        <v>7314</v>
      </c>
    </row>
    <row r="7343" spans="18:18" ht="13.8">
      <c r="R7343" s="10">
        <v>7315</v>
      </c>
    </row>
    <row r="7344" spans="18:18" ht="13.8">
      <c r="R7344" s="10">
        <v>7316</v>
      </c>
    </row>
    <row r="7345" spans="18:18" ht="13.8">
      <c r="R7345" s="10">
        <v>7317</v>
      </c>
    </row>
    <row r="7346" spans="18:18" ht="13.8">
      <c r="R7346" s="10">
        <v>7318</v>
      </c>
    </row>
    <row r="7347" spans="18:18" ht="13.8">
      <c r="R7347" s="10">
        <v>7319</v>
      </c>
    </row>
    <row r="7348" spans="18:18" ht="13.8">
      <c r="R7348" s="10">
        <v>7320</v>
      </c>
    </row>
    <row r="7349" spans="18:18" ht="13.8">
      <c r="R7349" s="10">
        <v>7321</v>
      </c>
    </row>
    <row r="7350" spans="18:18" ht="13.8">
      <c r="R7350" s="10">
        <v>7322</v>
      </c>
    </row>
    <row r="7351" spans="18:18" ht="13.8">
      <c r="R7351" s="10">
        <v>7323</v>
      </c>
    </row>
    <row r="7352" spans="18:18" ht="13.8">
      <c r="R7352" s="10">
        <v>7324</v>
      </c>
    </row>
    <row r="7353" spans="18:18" ht="13.8">
      <c r="R7353" s="10">
        <v>7325</v>
      </c>
    </row>
    <row r="7354" spans="18:18" ht="13.8">
      <c r="R7354" s="10">
        <v>7326</v>
      </c>
    </row>
    <row r="7355" spans="18:18" ht="13.8">
      <c r="R7355" s="10">
        <v>7327</v>
      </c>
    </row>
    <row r="7356" spans="18:18" ht="13.8">
      <c r="R7356" s="10">
        <v>7328</v>
      </c>
    </row>
    <row r="7357" spans="18:18" ht="13.8">
      <c r="R7357" s="10">
        <v>7329</v>
      </c>
    </row>
    <row r="7358" spans="18:18" ht="13.8">
      <c r="R7358" s="10">
        <v>7330</v>
      </c>
    </row>
    <row r="7359" spans="18:18" ht="13.8">
      <c r="R7359" s="10">
        <v>7331</v>
      </c>
    </row>
    <row r="7360" spans="18:18" ht="13.8">
      <c r="R7360" s="10">
        <v>7332</v>
      </c>
    </row>
    <row r="7361" spans="18:18" ht="13.8">
      <c r="R7361" s="10">
        <v>7333</v>
      </c>
    </row>
    <row r="7362" spans="18:18" ht="13.8">
      <c r="R7362" s="10">
        <v>7334</v>
      </c>
    </row>
    <row r="7363" spans="18:18" ht="13.8">
      <c r="R7363" s="10">
        <v>7335</v>
      </c>
    </row>
    <row r="7364" spans="18:18" ht="13.8">
      <c r="R7364" s="10">
        <v>7336</v>
      </c>
    </row>
    <row r="7365" spans="18:18" ht="13.8">
      <c r="R7365" s="10">
        <v>7337</v>
      </c>
    </row>
    <row r="7366" spans="18:18" ht="13.8">
      <c r="R7366" s="10">
        <v>7338</v>
      </c>
    </row>
    <row r="7367" spans="18:18" ht="13.8">
      <c r="R7367" s="10">
        <v>7339</v>
      </c>
    </row>
    <row r="7368" spans="18:18" ht="13.8">
      <c r="R7368" s="10">
        <v>7340</v>
      </c>
    </row>
    <row r="7369" spans="18:18" ht="13.8">
      <c r="R7369" s="10">
        <v>7341</v>
      </c>
    </row>
    <row r="7370" spans="18:18" ht="13.8">
      <c r="R7370" s="10">
        <v>7342</v>
      </c>
    </row>
    <row r="7371" spans="18:18" ht="13.8">
      <c r="R7371" s="10">
        <v>7343</v>
      </c>
    </row>
    <row r="7372" spans="18:18" ht="13.8">
      <c r="R7372" s="10">
        <v>7344</v>
      </c>
    </row>
    <row r="7373" spans="18:18" ht="13.8">
      <c r="R7373" s="10">
        <v>7345</v>
      </c>
    </row>
    <row r="7374" spans="18:18" ht="13.8">
      <c r="R7374" s="10">
        <v>7346</v>
      </c>
    </row>
    <row r="7375" spans="18:18" ht="13.8">
      <c r="R7375" s="10">
        <v>7347</v>
      </c>
    </row>
    <row r="7376" spans="18:18" ht="13.8">
      <c r="R7376" s="10">
        <v>7348</v>
      </c>
    </row>
    <row r="7377" spans="18:18" ht="13.8">
      <c r="R7377" s="10">
        <v>7349</v>
      </c>
    </row>
    <row r="7378" spans="18:18" ht="13.8">
      <c r="R7378" s="10">
        <v>7350</v>
      </c>
    </row>
    <row r="7379" spans="18:18" ht="13.8">
      <c r="R7379" s="10">
        <v>7351</v>
      </c>
    </row>
    <row r="7380" spans="18:18" ht="13.8">
      <c r="R7380" s="10">
        <v>7352</v>
      </c>
    </row>
    <row r="7381" spans="18:18" ht="13.8">
      <c r="R7381" s="10">
        <v>7353</v>
      </c>
    </row>
    <row r="7382" spans="18:18" ht="13.8">
      <c r="R7382" s="10">
        <v>7354</v>
      </c>
    </row>
    <row r="7383" spans="18:18" ht="13.8">
      <c r="R7383" s="10">
        <v>7355</v>
      </c>
    </row>
    <row r="7384" spans="18:18" ht="13.8">
      <c r="R7384" s="10">
        <v>7356</v>
      </c>
    </row>
    <row r="7385" spans="18:18" ht="13.8">
      <c r="R7385" s="10">
        <v>7357</v>
      </c>
    </row>
    <row r="7386" spans="18:18" ht="13.8">
      <c r="R7386" s="10">
        <v>7358</v>
      </c>
    </row>
    <row r="7387" spans="18:18" ht="13.8">
      <c r="R7387" s="10">
        <v>7359</v>
      </c>
    </row>
    <row r="7388" spans="18:18" ht="13.8">
      <c r="R7388" s="10">
        <v>7360</v>
      </c>
    </row>
    <row r="7389" spans="18:18" ht="13.8">
      <c r="R7389" s="10">
        <v>7361</v>
      </c>
    </row>
    <row r="7390" spans="18:18" ht="13.8">
      <c r="R7390" s="10">
        <v>7362</v>
      </c>
    </row>
    <row r="7391" spans="18:18" ht="13.8">
      <c r="R7391" s="10">
        <v>7363</v>
      </c>
    </row>
    <row r="7392" spans="18:18" ht="13.8">
      <c r="R7392" s="10">
        <v>7364</v>
      </c>
    </row>
    <row r="7393" spans="18:18" ht="13.8">
      <c r="R7393" s="10">
        <v>7365</v>
      </c>
    </row>
    <row r="7394" spans="18:18" ht="13.8">
      <c r="R7394" s="10">
        <v>7366</v>
      </c>
    </row>
    <row r="7395" spans="18:18" ht="13.8">
      <c r="R7395" s="10">
        <v>7367</v>
      </c>
    </row>
    <row r="7396" spans="18:18" ht="13.8">
      <c r="R7396" s="10">
        <v>7368</v>
      </c>
    </row>
    <row r="7397" spans="18:18" ht="13.8">
      <c r="R7397" s="10">
        <v>7369</v>
      </c>
    </row>
    <row r="7398" spans="18:18" ht="13.8">
      <c r="R7398" s="10">
        <v>7370</v>
      </c>
    </row>
    <row r="7399" spans="18:18" ht="13.8">
      <c r="R7399" s="10">
        <v>7371</v>
      </c>
    </row>
    <row r="7400" spans="18:18" ht="13.8">
      <c r="R7400" s="10">
        <v>7372</v>
      </c>
    </row>
    <row r="7401" spans="18:18" ht="13.8">
      <c r="R7401" s="10">
        <v>7373</v>
      </c>
    </row>
    <row r="7402" spans="18:18" ht="13.8">
      <c r="R7402" s="10">
        <v>7374</v>
      </c>
    </row>
    <row r="7403" spans="18:18" ht="13.8">
      <c r="R7403" s="10">
        <v>7375</v>
      </c>
    </row>
    <row r="7404" spans="18:18" ht="13.8">
      <c r="R7404" s="10">
        <v>7376</v>
      </c>
    </row>
    <row r="7405" spans="18:18" ht="13.8">
      <c r="R7405" s="10">
        <v>7377</v>
      </c>
    </row>
    <row r="7406" spans="18:18" ht="13.8">
      <c r="R7406" s="10">
        <v>7378</v>
      </c>
    </row>
    <row r="7407" spans="18:18" ht="13.8">
      <c r="R7407" s="10">
        <v>7379</v>
      </c>
    </row>
    <row r="7408" spans="18:18" ht="13.8">
      <c r="R7408" s="10">
        <v>7380</v>
      </c>
    </row>
    <row r="7409" spans="18:18" ht="13.8">
      <c r="R7409" s="10">
        <v>7381</v>
      </c>
    </row>
    <row r="7410" spans="18:18" ht="13.8">
      <c r="R7410" s="10">
        <v>7382</v>
      </c>
    </row>
    <row r="7411" spans="18:18" ht="13.8">
      <c r="R7411" s="10">
        <v>7383</v>
      </c>
    </row>
    <row r="7412" spans="18:18" ht="13.8">
      <c r="R7412" s="10">
        <v>7384</v>
      </c>
    </row>
    <row r="7413" spans="18:18" ht="13.8">
      <c r="R7413" s="10">
        <v>7385</v>
      </c>
    </row>
    <row r="7414" spans="18:18" ht="13.8">
      <c r="R7414" s="10">
        <v>7386</v>
      </c>
    </row>
    <row r="7415" spans="18:18" ht="13.8">
      <c r="R7415" s="10">
        <v>7387</v>
      </c>
    </row>
    <row r="7416" spans="18:18" ht="13.8">
      <c r="R7416" s="10">
        <v>7388</v>
      </c>
    </row>
    <row r="7417" spans="18:18" ht="13.8">
      <c r="R7417" s="10">
        <v>7389</v>
      </c>
    </row>
    <row r="7418" spans="18:18" ht="13.8">
      <c r="R7418" s="10">
        <v>7390</v>
      </c>
    </row>
    <row r="7419" spans="18:18" ht="13.8">
      <c r="R7419" s="10">
        <v>7391</v>
      </c>
    </row>
    <row r="7420" spans="18:18" ht="13.8">
      <c r="R7420" s="10">
        <v>7392</v>
      </c>
    </row>
    <row r="7421" spans="18:18" ht="13.8">
      <c r="R7421" s="10">
        <v>7393</v>
      </c>
    </row>
    <row r="7422" spans="18:18" ht="13.8">
      <c r="R7422" s="10">
        <v>7394</v>
      </c>
    </row>
    <row r="7423" spans="18:18" ht="13.8">
      <c r="R7423" s="10">
        <v>7395</v>
      </c>
    </row>
    <row r="7424" spans="18:18" ht="13.8">
      <c r="R7424" s="10">
        <v>7396</v>
      </c>
    </row>
    <row r="7425" spans="18:18" ht="13.8">
      <c r="R7425" s="10">
        <v>7397</v>
      </c>
    </row>
    <row r="7426" spans="18:18" ht="13.8">
      <c r="R7426" s="10">
        <v>7398</v>
      </c>
    </row>
    <row r="7427" spans="18:18" ht="13.8">
      <c r="R7427" s="10">
        <v>7399</v>
      </c>
    </row>
    <row r="7428" spans="18:18" ht="13.8">
      <c r="R7428" s="10">
        <v>7400</v>
      </c>
    </row>
    <row r="7429" spans="18:18" ht="13.8">
      <c r="R7429" s="10">
        <v>7401</v>
      </c>
    </row>
    <row r="7430" spans="18:18" ht="13.8">
      <c r="R7430" s="10">
        <v>7402</v>
      </c>
    </row>
    <row r="7431" spans="18:18" ht="13.8">
      <c r="R7431" s="10">
        <v>7403</v>
      </c>
    </row>
    <row r="7432" spans="18:18" ht="13.8">
      <c r="R7432" s="10">
        <v>7404</v>
      </c>
    </row>
    <row r="7433" spans="18:18" ht="13.8">
      <c r="R7433" s="10">
        <v>7405</v>
      </c>
    </row>
    <row r="7434" spans="18:18" ht="13.8">
      <c r="R7434" s="10">
        <v>7406</v>
      </c>
    </row>
    <row r="7435" spans="18:18" ht="13.8">
      <c r="R7435" s="10">
        <v>7407</v>
      </c>
    </row>
    <row r="7436" spans="18:18" ht="13.8">
      <c r="R7436" s="10">
        <v>7408</v>
      </c>
    </row>
    <row r="7437" spans="18:18" ht="13.8">
      <c r="R7437" s="10">
        <v>7409</v>
      </c>
    </row>
    <row r="7438" spans="18:18" ht="13.8">
      <c r="R7438" s="10">
        <v>7410</v>
      </c>
    </row>
    <row r="7439" spans="18:18" ht="13.8">
      <c r="R7439" s="10">
        <v>7411</v>
      </c>
    </row>
    <row r="7440" spans="18:18" ht="13.8">
      <c r="R7440" s="10">
        <v>7412</v>
      </c>
    </row>
    <row r="7441" spans="18:18" ht="13.8">
      <c r="R7441" s="10">
        <v>7413</v>
      </c>
    </row>
    <row r="7442" spans="18:18" ht="13.8">
      <c r="R7442" s="10">
        <v>7414</v>
      </c>
    </row>
    <row r="7443" spans="18:18" ht="13.8">
      <c r="R7443" s="10">
        <v>7415</v>
      </c>
    </row>
    <row r="7444" spans="18:18" ht="13.8">
      <c r="R7444" s="10">
        <v>7416</v>
      </c>
    </row>
    <row r="7445" spans="18:18" ht="13.8">
      <c r="R7445" s="10">
        <v>7417</v>
      </c>
    </row>
    <row r="7446" spans="18:18" ht="13.8">
      <c r="R7446" s="10">
        <v>7418</v>
      </c>
    </row>
    <row r="7447" spans="18:18" ht="13.8">
      <c r="R7447" s="10">
        <v>7419</v>
      </c>
    </row>
    <row r="7448" spans="18:18" ht="13.8">
      <c r="R7448" s="10">
        <v>7420</v>
      </c>
    </row>
    <row r="7449" spans="18:18" ht="13.8">
      <c r="R7449" s="10">
        <v>7421</v>
      </c>
    </row>
    <row r="7450" spans="18:18" ht="13.8">
      <c r="R7450" s="10">
        <v>7422</v>
      </c>
    </row>
    <row r="7451" spans="18:18" ht="13.8">
      <c r="R7451" s="10">
        <v>7423</v>
      </c>
    </row>
    <row r="7452" spans="18:18" ht="13.8">
      <c r="R7452" s="10">
        <v>7424</v>
      </c>
    </row>
    <row r="7453" spans="18:18" ht="13.8">
      <c r="R7453" s="10">
        <v>7425</v>
      </c>
    </row>
    <row r="7454" spans="18:18" ht="13.8">
      <c r="R7454" s="10">
        <v>7426</v>
      </c>
    </row>
    <row r="7455" spans="18:18" ht="13.8">
      <c r="R7455" s="10">
        <v>7427</v>
      </c>
    </row>
    <row r="7456" spans="18:18" ht="13.8">
      <c r="R7456" s="10">
        <v>7428</v>
      </c>
    </row>
    <row r="7457" spans="18:18" ht="13.8">
      <c r="R7457" s="10">
        <v>7429</v>
      </c>
    </row>
    <row r="7458" spans="18:18" ht="13.8">
      <c r="R7458" s="10">
        <v>7430</v>
      </c>
    </row>
    <row r="7459" spans="18:18" ht="13.8">
      <c r="R7459" s="10">
        <v>7431</v>
      </c>
    </row>
    <row r="7460" spans="18:18" ht="13.8">
      <c r="R7460" s="10">
        <v>7432</v>
      </c>
    </row>
    <row r="7461" spans="18:18" ht="13.8">
      <c r="R7461" s="10">
        <v>7433</v>
      </c>
    </row>
    <row r="7462" spans="18:18" ht="13.8">
      <c r="R7462" s="10">
        <v>7434</v>
      </c>
    </row>
    <row r="7463" spans="18:18" ht="13.8">
      <c r="R7463" s="10">
        <v>7435</v>
      </c>
    </row>
    <row r="7464" spans="18:18" ht="13.8">
      <c r="R7464" s="10">
        <v>7436</v>
      </c>
    </row>
    <row r="7465" spans="18:18" ht="13.8">
      <c r="R7465" s="10">
        <v>7437</v>
      </c>
    </row>
    <row r="7466" spans="18:18" ht="13.8">
      <c r="R7466" s="10">
        <v>7438</v>
      </c>
    </row>
    <row r="7467" spans="18:18" ht="13.8">
      <c r="R7467" s="10">
        <v>7439</v>
      </c>
    </row>
    <row r="7468" spans="18:18" ht="13.8">
      <c r="R7468" s="10">
        <v>7440</v>
      </c>
    </row>
    <row r="7469" spans="18:18" ht="13.8">
      <c r="R7469" s="10">
        <v>7441</v>
      </c>
    </row>
    <row r="7470" spans="18:18" ht="13.8">
      <c r="R7470" s="10">
        <v>7442</v>
      </c>
    </row>
    <row r="7471" spans="18:18" ht="13.8">
      <c r="R7471" s="10">
        <v>7443</v>
      </c>
    </row>
    <row r="7472" spans="18:18" ht="13.8">
      <c r="R7472" s="10">
        <v>7444</v>
      </c>
    </row>
    <row r="7473" spans="18:18" ht="13.8">
      <c r="R7473" s="10">
        <v>7445</v>
      </c>
    </row>
    <row r="7474" spans="18:18" ht="13.8">
      <c r="R7474" s="10">
        <v>7446</v>
      </c>
    </row>
    <row r="7475" spans="18:18" ht="13.8">
      <c r="R7475" s="10">
        <v>7447</v>
      </c>
    </row>
    <row r="7476" spans="18:18" ht="13.8">
      <c r="R7476" s="10">
        <v>7448</v>
      </c>
    </row>
    <row r="7477" spans="18:18" ht="13.8">
      <c r="R7477" s="10">
        <v>7449</v>
      </c>
    </row>
    <row r="7478" spans="18:18" ht="13.8">
      <c r="R7478" s="10">
        <v>7450</v>
      </c>
    </row>
    <row r="7479" spans="18:18" ht="13.8">
      <c r="R7479" s="10">
        <v>7451</v>
      </c>
    </row>
    <row r="7480" spans="18:18" ht="13.8">
      <c r="R7480" s="10">
        <v>7452</v>
      </c>
    </row>
    <row r="7481" spans="18:18" ht="13.8">
      <c r="R7481" s="10">
        <v>7453</v>
      </c>
    </row>
    <row r="7482" spans="18:18" ht="13.8">
      <c r="R7482" s="10">
        <v>7454</v>
      </c>
    </row>
    <row r="7483" spans="18:18" ht="13.8">
      <c r="R7483" s="10">
        <v>7455</v>
      </c>
    </row>
    <row r="7484" spans="18:18" ht="13.8">
      <c r="R7484" s="10">
        <v>7456</v>
      </c>
    </row>
    <row r="7485" spans="18:18" ht="13.8">
      <c r="R7485" s="10">
        <v>7457</v>
      </c>
    </row>
    <row r="7486" spans="18:18" ht="13.8">
      <c r="R7486" s="10">
        <v>7458</v>
      </c>
    </row>
    <row r="7487" spans="18:18" ht="13.8">
      <c r="R7487" s="10">
        <v>7459</v>
      </c>
    </row>
    <row r="7488" spans="18:18" ht="13.8">
      <c r="R7488" s="10">
        <v>7460</v>
      </c>
    </row>
    <row r="7489" spans="18:18" ht="13.8">
      <c r="R7489" s="10">
        <v>7461</v>
      </c>
    </row>
    <row r="7490" spans="18:18" ht="13.8">
      <c r="R7490" s="10">
        <v>7462</v>
      </c>
    </row>
    <row r="7491" spans="18:18" ht="13.8">
      <c r="R7491" s="10">
        <v>7463</v>
      </c>
    </row>
    <row r="7492" spans="18:18" ht="13.8">
      <c r="R7492" s="10">
        <v>7464</v>
      </c>
    </row>
    <row r="7493" spans="18:18" ht="13.8">
      <c r="R7493" s="10">
        <v>7465</v>
      </c>
    </row>
    <row r="7494" spans="18:18" ht="13.8">
      <c r="R7494" s="10">
        <v>7466</v>
      </c>
    </row>
    <row r="7495" spans="18:18" ht="13.8">
      <c r="R7495" s="10">
        <v>7467</v>
      </c>
    </row>
    <row r="7496" spans="18:18" ht="13.8">
      <c r="R7496" s="10">
        <v>7468</v>
      </c>
    </row>
    <row r="7497" spans="18:18" ht="13.8">
      <c r="R7497" s="10">
        <v>7469</v>
      </c>
    </row>
    <row r="7498" spans="18:18" ht="13.8">
      <c r="R7498" s="10">
        <v>7470</v>
      </c>
    </row>
    <row r="7499" spans="18:18" ht="13.8">
      <c r="R7499" s="10">
        <v>7471</v>
      </c>
    </row>
    <row r="7500" spans="18:18" ht="13.8">
      <c r="R7500" s="10">
        <v>7472</v>
      </c>
    </row>
    <row r="7501" spans="18:18" ht="13.8">
      <c r="R7501" s="10">
        <v>7473</v>
      </c>
    </row>
    <row r="7502" spans="18:18" ht="13.8">
      <c r="R7502" s="10">
        <v>7474</v>
      </c>
    </row>
    <row r="7503" spans="18:18" ht="13.8">
      <c r="R7503" s="10">
        <v>7475</v>
      </c>
    </row>
    <row r="7504" spans="18:18" ht="13.8">
      <c r="R7504" s="10">
        <v>7476</v>
      </c>
    </row>
    <row r="7505" spans="18:18" ht="13.8">
      <c r="R7505" s="10">
        <v>7477</v>
      </c>
    </row>
    <row r="7506" spans="18:18" ht="13.8">
      <c r="R7506" s="10">
        <v>7478</v>
      </c>
    </row>
    <row r="7507" spans="18:18" ht="13.8">
      <c r="R7507" s="10">
        <v>7479</v>
      </c>
    </row>
    <row r="7508" spans="18:18" ht="13.8">
      <c r="R7508" s="10">
        <v>7480</v>
      </c>
    </row>
    <row r="7509" spans="18:18" ht="13.8">
      <c r="R7509" s="10">
        <v>7481</v>
      </c>
    </row>
    <row r="7510" spans="18:18" ht="13.8">
      <c r="R7510" s="10">
        <v>7482</v>
      </c>
    </row>
    <row r="7511" spans="18:18" ht="13.8">
      <c r="R7511" s="10">
        <v>7483</v>
      </c>
    </row>
    <row r="7512" spans="18:18" ht="13.8">
      <c r="R7512" s="10">
        <v>7484</v>
      </c>
    </row>
    <row r="7513" spans="18:18" ht="13.8">
      <c r="R7513" s="10">
        <v>7485</v>
      </c>
    </row>
    <row r="7514" spans="18:18" ht="13.8">
      <c r="R7514" s="10">
        <v>7486</v>
      </c>
    </row>
    <row r="7515" spans="18:18" ht="13.8">
      <c r="R7515" s="10">
        <v>7487</v>
      </c>
    </row>
    <row r="7516" spans="18:18" ht="13.8">
      <c r="R7516" s="10">
        <v>7488</v>
      </c>
    </row>
    <row r="7517" spans="18:18" ht="13.8">
      <c r="R7517" s="10">
        <v>7489</v>
      </c>
    </row>
    <row r="7518" spans="18:18" ht="13.8">
      <c r="R7518" s="10">
        <v>7490</v>
      </c>
    </row>
    <row r="7519" spans="18:18" ht="13.8">
      <c r="R7519" s="10">
        <v>7491</v>
      </c>
    </row>
    <row r="7520" spans="18:18" ht="13.8">
      <c r="R7520" s="10">
        <v>7492</v>
      </c>
    </row>
    <row r="7521" spans="18:18" ht="13.8">
      <c r="R7521" s="10">
        <v>7493</v>
      </c>
    </row>
    <row r="7522" spans="18:18" ht="13.8">
      <c r="R7522" s="10">
        <v>7494</v>
      </c>
    </row>
    <row r="7523" spans="18:18" ht="13.8">
      <c r="R7523" s="10">
        <v>7495</v>
      </c>
    </row>
    <row r="7524" spans="18:18" ht="13.8">
      <c r="R7524" s="10">
        <v>7496</v>
      </c>
    </row>
    <row r="7525" spans="18:18" ht="13.8">
      <c r="R7525" s="10">
        <v>7497</v>
      </c>
    </row>
    <row r="7526" spans="18:18" ht="13.8">
      <c r="R7526" s="10">
        <v>7498</v>
      </c>
    </row>
    <row r="7527" spans="18:18" ht="13.8">
      <c r="R7527" s="10">
        <v>7499</v>
      </c>
    </row>
    <row r="7528" spans="18:18" ht="13.8">
      <c r="R7528" s="10">
        <v>7500</v>
      </c>
    </row>
    <row r="7529" spans="18:18" ht="13.8">
      <c r="R7529" s="10">
        <v>7501</v>
      </c>
    </row>
    <row r="7530" spans="18:18" ht="13.8">
      <c r="R7530" s="10">
        <v>7502</v>
      </c>
    </row>
    <row r="7531" spans="18:18" ht="13.8">
      <c r="R7531" s="10">
        <v>7503</v>
      </c>
    </row>
    <row r="7532" spans="18:18" ht="13.8">
      <c r="R7532" s="10">
        <v>7504</v>
      </c>
    </row>
    <row r="7533" spans="18:18" ht="13.8">
      <c r="R7533" s="10">
        <v>7505</v>
      </c>
    </row>
    <row r="7534" spans="18:18" ht="13.8">
      <c r="R7534" s="10">
        <v>7506</v>
      </c>
    </row>
    <row r="7535" spans="18:18" ht="13.8">
      <c r="R7535" s="10">
        <v>7507</v>
      </c>
    </row>
    <row r="7536" spans="18:18" ht="13.8">
      <c r="R7536" s="10">
        <v>7508</v>
      </c>
    </row>
    <row r="7537" spans="18:18" ht="13.8">
      <c r="R7537" s="10">
        <v>7509</v>
      </c>
    </row>
    <row r="7538" spans="18:18" ht="13.8">
      <c r="R7538" s="10">
        <v>7510</v>
      </c>
    </row>
    <row r="7539" spans="18:18" ht="13.8">
      <c r="R7539" s="10">
        <v>7511</v>
      </c>
    </row>
    <row r="7540" spans="18:18" ht="13.8">
      <c r="R7540" s="10">
        <v>7512</v>
      </c>
    </row>
    <row r="7541" spans="18:18" ht="13.8">
      <c r="R7541" s="10">
        <v>7513</v>
      </c>
    </row>
    <row r="7542" spans="18:18" ht="13.8">
      <c r="R7542" s="10">
        <v>7514</v>
      </c>
    </row>
    <row r="7543" spans="18:18" ht="13.8">
      <c r="R7543" s="10">
        <v>7515</v>
      </c>
    </row>
    <row r="7544" spans="18:18" ht="13.8">
      <c r="R7544" s="10">
        <v>7516</v>
      </c>
    </row>
    <row r="7545" spans="18:18" ht="13.8">
      <c r="R7545" s="10">
        <v>7517</v>
      </c>
    </row>
    <row r="7546" spans="18:18" ht="13.8">
      <c r="R7546" s="10">
        <v>7518</v>
      </c>
    </row>
    <row r="7547" spans="18:18" ht="13.8">
      <c r="R7547" s="10">
        <v>7519</v>
      </c>
    </row>
    <row r="7548" spans="18:18" ht="13.8">
      <c r="R7548" s="10">
        <v>7520</v>
      </c>
    </row>
    <row r="7549" spans="18:18" ht="13.8">
      <c r="R7549" s="10">
        <v>7521</v>
      </c>
    </row>
    <row r="7550" spans="18:18" ht="13.8">
      <c r="R7550" s="10">
        <v>7522</v>
      </c>
    </row>
    <row r="7551" spans="18:18" ht="13.8">
      <c r="R7551" s="10">
        <v>7523</v>
      </c>
    </row>
    <row r="7552" spans="18:18" ht="13.8">
      <c r="R7552" s="10">
        <v>7524</v>
      </c>
    </row>
    <row r="7553" spans="18:18" ht="13.8">
      <c r="R7553" s="10">
        <v>7525</v>
      </c>
    </row>
    <row r="7554" spans="18:18" ht="13.8">
      <c r="R7554" s="10">
        <v>7526</v>
      </c>
    </row>
    <row r="7555" spans="18:18" ht="13.8">
      <c r="R7555" s="10">
        <v>7527</v>
      </c>
    </row>
    <row r="7556" spans="18:18" ht="13.8">
      <c r="R7556" s="10">
        <v>7528</v>
      </c>
    </row>
    <row r="7557" spans="18:18" ht="13.8">
      <c r="R7557" s="10">
        <v>7529</v>
      </c>
    </row>
    <row r="7558" spans="18:18" ht="13.8">
      <c r="R7558" s="10">
        <v>7530</v>
      </c>
    </row>
    <row r="7559" spans="18:18" ht="13.8">
      <c r="R7559" s="10">
        <v>7531</v>
      </c>
    </row>
    <row r="7560" spans="18:18" ht="13.8">
      <c r="R7560" s="10">
        <v>7532</v>
      </c>
    </row>
    <row r="7561" spans="18:18" ht="13.8">
      <c r="R7561" s="10">
        <v>7533</v>
      </c>
    </row>
    <row r="7562" spans="18:18" ht="13.8">
      <c r="R7562" s="10">
        <v>7534</v>
      </c>
    </row>
    <row r="7563" spans="18:18" ht="13.8">
      <c r="R7563" s="10">
        <v>7535</v>
      </c>
    </row>
    <row r="7564" spans="18:18" ht="13.8">
      <c r="R7564" s="10">
        <v>7536</v>
      </c>
    </row>
    <row r="7565" spans="18:18" ht="13.8">
      <c r="R7565" s="10">
        <v>7537</v>
      </c>
    </row>
    <row r="7566" spans="18:18" ht="13.8">
      <c r="R7566" s="10">
        <v>7538</v>
      </c>
    </row>
    <row r="7567" spans="18:18" ht="13.8">
      <c r="R7567" s="10">
        <v>7539</v>
      </c>
    </row>
    <row r="7568" spans="18:18" ht="13.8">
      <c r="R7568" s="10">
        <v>7540</v>
      </c>
    </row>
    <row r="7569" spans="18:18" ht="13.8">
      <c r="R7569" s="10">
        <v>7541</v>
      </c>
    </row>
    <row r="7570" spans="18:18" ht="13.8">
      <c r="R7570" s="10">
        <v>7542</v>
      </c>
    </row>
    <row r="7571" spans="18:18" ht="13.8">
      <c r="R7571" s="10">
        <v>7543</v>
      </c>
    </row>
    <row r="7572" spans="18:18" ht="13.8">
      <c r="R7572" s="10">
        <v>7544</v>
      </c>
    </row>
    <row r="7573" spans="18:18" ht="13.8">
      <c r="R7573" s="10">
        <v>7545</v>
      </c>
    </row>
    <row r="7574" spans="18:18" ht="13.8">
      <c r="R7574" s="10">
        <v>7546</v>
      </c>
    </row>
    <row r="7575" spans="18:18" ht="13.8">
      <c r="R7575" s="10">
        <v>7547</v>
      </c>
    </row>
    <row r="7576" spans="18:18" ht="13.8">
      <c r="R7576" s="10">
        <v>7548</v>
      </c>
    </row>
    <row r="7577" spans="18:18" ht="13.8">
      <c r="R7577" s="10">
        <v>7549</v>
      </c>
    </row>
    <row r="7578" spans="18:18" ht="13.8">
      <c r="R7578" s="10">
        <v>7550</v>
      </c>
    </row>
    <row r="7579" spans="18:18" ht="13.8">
      <c r="R7579" s="10">
        <v>7551</v>
      </c>
    </row>
    <row r="7580" spans="18:18" ht="13.8">
      <c r="R7580" s="10">
        <v>7552</v>
      </c>
    </row>
    <row r="7581" spans="18:18" ht="13.8">
      <c r="R7581" s="10">
        <v>7553</v>
      </c>
    </row>
    <row r="7582" spans="18:18" ht="13.8">
      <c r="R7582" s="10">
        <v>7554</v>
      </c>
    </row>
    <row r="7583" spans="18:18" ht="13.8">
      <c r="R7583" s="10">
        <v>7555</v>
      </c>
    </row>
    <row r="7584" spans="18:18" ht="13.8">
      <c r="R7584" s="10">
        <v>7556</v>
      </c>
    </row>
    <row r="7585" spans="18:18" ht="13.8">
      <c r="R7585" s="10">
        <v>7557</v>
      </c>
    </row>
    <row r="7586" spans="18:18" ht="13.8">
      <c r="R7586" s="10">
        <v>7558</v>
      </c>
    </row>
    <row r="7587" spans="18:18" ht="13.8">
      <c r="R7587" s="10">
        <v>7559</v>
      </c>
    </row>
    <row r="7588" spans="18:18" ht="13.8">
      <c r="R7588" s="10">
        <v>7560</v>
      </c>
    </row>
    <row r="7589" spans="18:18" ht="13.8">
      <c r="R7589" s="10">
        <v>7561</v>
      </c>
    </row>
    <row r="7590" spans="18:18" ht="13.8">
      <c r="R7590" s="10">
        <v>7562</v>
      </c>
    </row>
    <row r="7591" spans="18:18" ht="13.8">
      <c r="R7591" s="10">
        <v>7563</v>
      </c>
    </row>
    <row r="7592" spans="18:18" ht="13.8">
      <c r="R7592" s="10">
        <v>7564</v>
      </c>
    </row>
    <row r="7593" spans="18:18" ht="13.8">
      <c r="R7593" s="10">
        <v>7565</v>
      </c>
    </row>
    <row r="7594" spans="18:18" ht="13.8">
      <c r="R7594" s="10">
        <v>7566</v>
      </c>
    </row>
    <row r="7595" spans="18:18" ht="13.8">
      <c r="R7595" s="10">
        <v>7567</v>
      </c>
    </row>
    <row r="7596" spans="18:18" ht="13.8">
      <c r="R7596" s="10">
        <v>7568</v>
      </c>
    </row>
    <row r="7597" spans="18:18" ht="13.8">
      <c r="R7597" s="10">
        <v>7569</v>
      </c>
    </row>
    <row r="7598" spans="18:18" ht="13.8">
      <c r="R7598" s="10">
        <v>7570</v>
      </c>
    </row>
    <row r="7599" spans="18:18" ht="13.8">
      <c r="R7599" s="10">
        <v>7571</v>
      </c>
    </row>
    <row r="7600" spans="18:18" ht="13.8">
      <c r="R7600" s="10">
        <v>7572</v>
      </c>
    </row>
    <row r="7601" spans="18:18" ht="13.8">
      <c r="R7601" s="10">
        <v>7573</v>
      </c>
    </row>
    <row r="7602" spans="18:18" ht="13.8">
      <c r="R7602" s="10">
        <v>7574</v>
      </c>
    </row>
    <row r="7603" spans="18:18" ht="13.8">
      <c r="R7603" s="10">
        <v>7575</v>
      </c>
    </row>
    <row r="7604" spans="18:18" ht="13.8">
      <c r="R7604" s="10">
        <v>7576</v>
      </c>
    </row>
    <row r="7605" spans="18:18" ht="13.8">
      <c r="R7605" s="10">
        <v>7577</v>
      </c>
    </row>
    <row r="7606" spans="18:18" ht="13.8">
      <c r="R7606" s="10">
        <v>7578</v>
      </c>
    </row>
    <row r="7607" spans="18:18" ht="13.8">
      <c r="R7607" s="10">
        <v>7579</v>
      </c>
    </row>
    <row r="7608" spans="18:18" ht="13.8">
      <c r="R7608" s="10">
        <v>7580</v>
      </c>
    </row>
    <row r="7609" spans="18:18" ht="13.8">
      <c r="R7609" s="10">
        <v>7581</v>
      </c>
    </row>
    <row r="7610" spans="18:18" ht="13.8">
      <c r="R7610" s="10">
        <v>7582</v>
      </c>
    </row>
    <row r="7611" spans="18:18" ht="13.8">
      <c r="R7611" s="10">
        <v>7583</v>
      </c>
    </row>
    <row r="7612" spans="18:18" ht="13.8">
      <c r="R7612" s="10">
        <v>7584</v>
      </c>
    </row>
    <row r="7613" spans="18:18" ht="13.8">
      <c r="R7613" s="10">
        <v>7585</v>
      </c>
    </row>
    <row r="7614" spans="18:18" ht="13.8">
      <c r="R7614" s="10">
        <v>7586</v>
      </c>
    </row>
    <row r="7615" spans="18:18" ht="13.8">
      <c r="R7615" s="10">
        <v>7587</v>
      </c>
    </row>
    <row r="7616" spans="18:18" ht="13.8">
      <c r="R7616" s="10">
        <v>7588</v>
      </c>
    </row>
    <row r="7617" spans="18:18" ht="13.8">
      <c r="R7617" s="10">
        <v>7589</v>
      </c>
    </row>
    <row r="7618" spans="18:18" ht="13.8">
      <c r="R7618" s="10">
        <v>7590</v>
      </c>
    </row>
    <row r="7619" spans="18:18" ht="13.8">
      <c r="R7619" s="10">
        <v>7591</v>
      </c>
    </row>
    <row r="7620" spans="18:18" ht="13.8">
      <c r="R7620" s="10">
        <v>7592</v>
      </c>
    </row>
    <row r="7621" spans="18:18" ht="13.8">
      <c r="R7621" s="10">
        <v>7593</v>
      </c>
    </row>
    <row r="7622" spans="18:18" ht="13.8">
      <c r="R7622" s="10">
        <v>7594</v>
      </c>
    </row>
    <row r="7623" spans="18:18" ht="13.8">
      <c r="R7623" s="10">
        <v>7595</v>
      </c>
    </row>
    <row r="7624" spans="18:18" ht="13.8">
      <c r="R7624" s="10">
        <v>7596</v>
      </c>
    </row>
    <row r="7625" spans="18:18" ht="13.8">
      <c r="R7625" s="10">
        <v>7597</v>
      </c>
    </row>
    <row r="7626" spans="18:18" ht="13.8">
      <c r="R7626" s="10">
        <v>7598</v>
      </c>
    </row>
    <row r="7627" spans="18:18" ht="13.8">
      <c r="R7627" s="10">
        <v>7599</v>
      </c>
    </row>
    <row r="7628" spans="18:18" ht="13.8">
      <c r="R7628" s="10">
        <v>7600</v>
      </c>
    </row>
    <row r="7629" spans="18:18" ht="13.8">
      <c r="R7629" s="10">
        <v>7601</v>
      </c>
    </row>
    <row r="7630" spans="18:18" ht="13.8">
      <c r="R7630" s="10">
        <v>7602</v>
      </c>
    </row>
    <row r="7631" spans="18:18" ht="13.8">
      <c r="R7631" s="10">
        <v>7603</v>
      </c>
    </row>
    <row r="7632" spans="18:18" ht="13.8">
      <c r="R7632" s="10">
        <v>7604</v>
      </c>
    </row>
    <row r="7633" spans="18:18" ht="13.8">
      <c r="R7633" s="10">
        <v>7605</v>
      </c>
    </row>
    <row r="7634" spans="18:18" ht="13.8">
      <c r="R7634" s="10">
        <v>7606</v>
      </c>
    </row>
    <row r="7635" spans="18:18" ht="13.8">
      <c r="R7635" s="10">
        <v>7607</v>
      </c>
    </row>
    <row r="7636" spans="18:18" ht="13.8">
      <c r="R7636" s="10">
        <v>7608</v>
      </c>
    </row>
    <row r="7637" spans="18:18" ht="13.8">
      <c r="R7637" s="10">
        <v>7609</v>
      </c>
    </row>
    <row r="7638" spans="18:18" ht="13.8">
      <c r="R7638" s="10">
        <v>7610</v>
      </c>
    </row>
    <row r="7639" spans="18:18" ht="13.8">
      <c r="R7639" s="10">
        <v>7611</v>
      </c>
    </row>
    <row r="7640" spans="18:18" ht="13.8">
      <c r="R7640" s="10">
        <v>7612</v>
      </c>
    </row>
    <row r="7641" spans="18:18" ht="13.8">
      <c r="R7641" s="10">
        <v>7613</v>
      </c>
    </row>
    <row r="7642" spans="18:18" ht="13.8">
      <c r="R7642" s="10">
        <v>7614</v>
      </c>
    </row>
    <row r="7643" spans="18:18" ht="13.8">
      <c r="R7643" s="10">
        <v>7615</v>
      </c>
    </row>
    <row r="7644" spans="18:18" ht="13.8">
      <c r="R7644" s="10">
        <v>7616</v>
      </c>
    </row>
    <row r="7645" spans="18:18" ht="13.8">
      <c r="R7645" s="10">
        <v>7617</v>
      </c>
    </row>
    <row r="7646" spans="18:18" ht="13.8">
      <c r="R7646" s="10">
        <v>7618</v>
      </c>
    </row>
    <row r="7647" spans="18:18" ht="13.8">
      <c r="R7647" s="10">
        <v>7619</v>
      </c>
    </row>
    <row r="7648" spans="18:18" ht="13.8">
      <c r="R7648" s="10">
        <v>7620</v>
      </c>
    </row>
    <row r="7649" spans="18:18" ht="13.8">
      <c r="R7649" s="10">
        <v>7621</v>
      </c>
    </row>
    <row r="7650" spans="18:18" ht="13.8">
      <c r="R7650" s="10">
        <v>7622</v>
      </c>
    </row>
    <row r="7651" spans="18:18" ht="13.8">
      <c r="R7651" s="10">
        <v>7623</v>
      </c>
    </row>
    <row r="7652" spans="18:18" ht="13.8">
      <c r="R7652" s="10">
        <v>7624</v>
      </c>
    </row>
    <row r="7653" spans="18:18" ht="13.8">
      <c r="R7653" s="10">
        <v>7625</v>
      </c>
    </row>
    <row r="7654" spans="18:18" ht="13.8">
      <c r="R7654" s="10">
        <v>7626</v>
      </c>
    </row>
    <row r="7655" spans="18:18" ht="13.8">
      <c r="R7655" s="10">
        <v>7627</v>
      </c>
    </row>
    <row r="7656" spans="18:18" ht="13.8">
      <c r="R7656" s="10">
        <v>7628</v>
      </c>
    </row>
    <row r="7657" spans="18:18" ht="13.8">
      <c r="R7657" s="10">
        <v>7629</v>
      </c>
    </row>
    <row r="7658" spans="18:18" ht="13.8">
      <c r="R7658" s="10">
        <v>7630</v>
      </c>
    </row>
    <row r="7659" spans="18:18" ht="13.8">
      <c r="R7659" s="10">
        <v>7631</v>
      </c>
    </row>
    <row r="7660" spans="18:18" ht="13.8">
      <c r="R7660" s="10">
        <v>7632</v>
      </c>
    </row>
    <row r="7661" spans="18:18" ht="13.8">
      <c r="R7661" s="10">
        <v>7633</v>
      </c>
    </row>
    <row r="7662" spans="18:18" ht="13.8">
      <c r="R7662" s="10">
        <v>7634</v>
      </c>
    </row>
    <row r="7663" spans="18:18" ht="13.8">
      <c r="R7663" s="10">
        <v>7635</v>
      </c>
    </row>
    <row r="7664" spans="18:18" ht="13.8">
      <c r="R7664" s="10">
        <v>7636</v>
      </c>
    </row>
    <row r="7665" spans="18:18" ht="13.8">
      <c r="R7665" s="10">
        <v>7637</v>
      </c>
    </row>
    <row r="7666" spans="18:18" ht="13.8">
      <c r="R7666" s="10">
        <v>7638</v>
      </c>
    </row>
    <row r="7667" spans="18:18" ht="13.8">
      <c r="R7667" s="10">
        <v>7639</v>
      </c>
    </row>
    <row r="7668" spans="18:18" ht="13.8">
      <c r="R7668" s="10">
        <v>7640</v>
      </c>
    </row>
    <row r="7669" spans="18:18" ht="13.8">
      <c r="R7669" s="10">
        <v>7641</v>
      </c>
    </row>
    <row r="7670" spans="18:18" ht="13.8">
      <c r="R7670" s="10">
        <v>7642</v>
      </c>
    </row>
    <row r="7671" spans="18:18" ht="13.8">
      <c r="R7671" s="10">
        <v>7643</v>
      </c>
    </row>
    <row r="7672" spans="18:18" ht="13.8">
      <c r="R7672" s="10">
        <v>7644</v>
      </c>
    </row>
    <row r="7673" spans="18:18" ht="13.8">
      <c r="R7673" s="10">
        <v>7645</v>
      </c>
    </row>
    <row r="7674" spans="18:18" ht="13.8">
      <c r="R7674" s="10">
        <v>7646</v>
      </c>
    </row>
    <row r="7675" spans="18:18" ht="13.8">
      <c r="R7675" s="10">
        <v>7647</v>
      </c>
    </row>
    <row r="7676" spans="18:18" ht="13.8">
      <c r="R7676" s="10">
        <v>7648</v>
      </c>
    </row>
    <row r="7677" spans="18:18" ht="13.8">
      <c r="R7677" s="10">
        <v>7649</v>
      </c>
    </row>
    <row r="7678" spans="18:18" ht="13.8">
      <c r="R7678" s="10">
        <v>7650</v>
      </c>
    </row>
    <row r="7679" spans="18:18" ht="13.8">
      <c r="R7679" s="10">
        <v>7651</v>
      </c>
    </row>
    <row r="7680" spans="18:18" ht="13.8">
      <c r="R7680" s="10">
        <v>7652</v>
      </c>
    </row>
    <row r="7681" spans="18:18" ht="13.8">
      <c r="R7681" s="10">
        <v>7653</v>
      </c>
    </row>
    <row r="7682" spans="18:18" ht="13.8">
      <c r="R7682" s="10">
        <v>7654</v>
      </c>
    </row>
    <row r="7683" spans="18:18" ht="13.8">
      <c r="R7683" s="10">
        <v>7655</v>
      </c>
    </row>
    <row r="7684" spans="18:18" ht="13.8">
      <c r="R7684" s="10">
        <v>7656</v>
      </c>
    </row>
    <row r="7685" spans="18:18" ht="13.8">
      <c r="R7685" s="10">
        <v>7657</v>
      </c>
    </row>
    <row r="7686" spans="18:18" ht="13.8">
      <c r="R7686" s="10">
        <v>7658</v>
      </c>
    </row>
    <row r="7687" spans="18:18" ht="13.8">
      <c r="R7687" s="10">
        <v>7659</v>
      </c>
    </row>
    <row r="7688" spans="18:18" ht="13.8">
      <c r="R7688" s="10">
        <v>7660</v>
      </c>
    </row>
    <row r="7689" spans="18:18" ht="13.8">
      <c r="R7689" s="10">
        <v>7661</v>
      </c>
    </row>
    <row r="7690" spans="18:18" ht="13.8">
      <c r="R7690" s="10">
        <v>7662</v>
      </c>
    </row>
    <row r="7691" spans="18:18" ht="13.8">
      <c r="R7691" s="10">
        <v>7663</v>
      </c>
    </row>
    <row r="7692" spans="18:18" ht="13.8">
      <c r="R7692" s="10">
        <v>7664</v>
      </c>
    </row>
    <row r="7693" spans="18:18" ht="13.8">
      <c r="R7693" s="10">
        <v>7665</v>
      </c>
    </row>
    <row r="7694" spans="18:18" ht="13.8">
      <c r="R7694" s="10">
        <v>7666</v>
      </c>
    </row>
    <row r="7695" spans="18:18" ht="13.8">
      <c r="R7695" s="10">
        <v>7667</v>
      </c>
    </row>
    <row r="7696" spans="18:18" ht="13.8">
      <c r="R7696" s="10">
        <v>7668</v>
      </c>
    </row>
    <row r="7697" spans="18:18" ht="13.8">
      <c r="R7697" s="10">
        <v>7669</v>
      </c>
    </row>
    <row r="7698" spans="18:18" ht="13.8">
      <c r="R7698" s="10">
        <v>7670</v>
      </c>
    </row>
    <row r="7699" spans="18:18" ht="13.8">
      <c r="R7699" s="10">
        <v>7671</v>
      </c>
    </row>
    <row r="7700" spans="18:18" ht="13.8">
      <c r="R7700" s="10">
        <v>7672</v>
      </c>
    </row>
    <row r="7701" spans="18:18" ht="13.8">
      <c r="R7701" s="10">
        <v>7673</v>
      </c>
    </row>
    <row r="7702" spans="18:18" ht="13.8">
      <c r="R7702" s="10">
        <v>7674</v>
      </c>
    </row>
    <row r="7703" spans="18:18" ht="13.8">
      <c r="R7703" s="10">
        <v>7675</v>
      </c>
    </row>
    <row r="7704" spans="18:18" ht="13.8">
      <c r="R7704" s="10">
        <v>7676</v>
      </c>
    </row>
    <row r="7705" spans="18:18" ht="13.8">
      <c r="R7705" s="10">
        <v>7677</v>
      </c>
    </row>
    <row r="7706" spans="18:18" ht="13.8">
      <c r="R7706" s="10">
        <v>7678</v>
      </c>
    </row>
    <row r="7707" spans="18:18" ht="13.8">
      <c r="R7707" s="10">
        <v>7679</v>
      </c>
    </row>
    <row r="7708" spans="18:18" ht="13.8">
      <c r="R7708" s="10">
        <v>7680</v>
      </c>
    </row>
    <row r="7709" spans="18:18" ht="13.8">
      <c r="R7709" s="10">
        <v>7681</v>
      </c>
    </row>
    <row r="7710" spans="18:18" ht="13.8">
      <c r="R7710" s="10">
        <v>7682</v>
      </c>
    </row>
    <row r="7711" spans="18:18" ht="13.8">
      <c r="R7711" s="10">
        <v>7683</v>
      </c>
    </row>
    <row r="7712" spans="18:18" ht="13.8">
      <c r="R7712" s="10">
        <v>7684</v>
      </c>
    </row>
    <row r="7713" spans="18:18" ht="13.8">
      <c r="R7713" s="10">
        <v>7685</v>
      </c>
    </row>
    <row r="7714" spans="18:18" ht="13.8">
      <c r="R7714" s="10">
        <v>7686</v>
      </c>
    </row>
    <row r="7715" spans="18:18" ht="13.8">
      <c r="R7715" s="10">
        <v>7687</v>
      </c>
    </row>
    <row r="7716" spans="18:18" ht="13.8">
      <c r="R7716" s="10">
        <v>7688</v>
      </c>
    </row>
    <row r="7717" spans="18:18" ht="13.8">
      <c r="R7717" s="10">
        <v>7689</v>
      </c>
    </row>
    <row r="7718" spans="18:18" ht="13.8">
      <c r="R7718" s="10">
        <v>7690</v>
      </c>
    </row>
    <row r="7719" spans="18:18" ht="13.8">
      <c r="R7719" s="10">
        <v>7691</v>
      </c>
    </row>
    <row r="7720" spans="18:18" ht="13.8">
      <c r="R7720" s="10">
        <v>7692</v>
      </c>
    </row>
    <row r="7721" spans="18:18" ht="13.8">
      <c r="R7721" s="10">
        <v>7693</v>
      </c>
    </row>
    <row r="7722" spans="18:18" ht="13.8">
      <c r="R7722" s="10">
        <v>7694</v>
      </c>
    </row>
    <row r="7723" spans="18:18" ht="13.8">
      <c r="R7723" s="10">
        <v>7695</v>
      </c>
    </row>
    <row r="7724" spans="18:18" ht="13.8">
      <c r="R7724" s="10">
        <v>7696</v>
      </c>
    </row>
    <row r="7725" spans="18:18" ht="13.8">
      <c r="R7725" s="10">
        <v>7697</v>
      </c>
    </row>
    <row r="7726" spans="18:18" ht="13.8">
      <c r="R7726" s="10">
        <v>7698</v>
      </c>
    </row>
    <row r="7727" spans="18:18" ht="13.8">
      <c r="R7727" s="10">
        <v>7699</v>
      </c>
    </row>
    <row r="7728" spans="18:18" ht="13.8">
      <c r="R7728" s="10">
        <v>7700</v>
      </c>
    </row>
    <row r="7729" spans="18:18" ht="13.8">
      <c r="R7729" s="10">
        <v>7701</v>
      </c>
    </row>
    <row r="7730" spans="18:18" ht="13.8">
      <c r="R7730" s="10">
        <v>7702</v>
      </c>
    </row>
    <row r="7731" spans="18:18" ht="13.8">
      <c r="R7731" s="10">
        <v>7703</v>
      </c>
    </row>
    <row r="7732" spans="18:18" ht="13.8">
      <c r="R7732" s="10">
        <v>7704</v>
      </c>
    </row>
    <row r="7733" spans="18:18" ht="13.8">
      <c r="R7733" s="10">
        <v>7705</v>
      </c>
    </row>
    <row r="7734" spans="18:18" ht="13.8">
      <c r="R7734" s="10">
        <v>7706</v>
      </c>
    </row>
    <row r="7735" spans="18:18" ht="13.8">
      <c r="R7735" s="10">
        <v>7707</v>
      </c>
    </row>
    <row r="7736" spans="18:18" ht="13.8">
      <c r="R7736" s="10">
        <v>7708</v>
      </c>
    </row>
    <row r="7737" spans="18:18" ht="13.8">
      <c r="R7737" s="10">
        <v>7709</v>
      </c>
    </row>
    <row r="7738" spans="18:18" ht="13.8">
      <c r="R7738" s="10">
        <v>7710</v>
      </c>
    </row>
    <row r="7739" spans="18:18" ht="13.8">
      <c r="R7739" s="10">
        <v>7711</v>
      </c>
    </row>
    <row r="7740" spans="18:18" ht="13.8">
      <c r="R7740" s="10">
        <v>7712</v>
      </c>
    </row>
    <row r="7741" spans="18:18" ht="13.8">
      <c r="R7741" s="10">
        <v>7713</v>
      </c>
    </row>
    <row r="7742" spans="18:18" ht="13.8">
      <c r="R7742" s="10">
        <v>7714</v>
      </c>
    </row>
    <row r="7743" spans="18:18" ht="13.8">
      <c r="R7743" s="10">
        <v>7715</v>
      </c>
    </row>
    <row r="7744" spans="18:18" ht="13.8">
      <c r="R7744" s="10">
        <v>7716</v>
      </c>
    </row>
    <row r="7745" spans="18:18" ht="13.8">
      <c r="R7745" s="10">
        <v>7717</v>
      </c>
    </row>
    <row r="7746" spans="18:18" ht="13.8">
      <c r="R7746" s="10">
        <v>7718</v>
      </c>
    </row>
    <row r="7747" spans="18:18" ht="13.8">
      <c r="R7747" s="10">
        <v>7719</v>
      </c>
    </row>
    <row r="7748" spans="18:18" ht="13.8">
      <c r="R7748" s="10">
        <v>7720</v>
      </c>
    </row>
    <row r="7749" spans="18:18" ht="13.8">
      <c r="R7749" s="10">
        <v>7721</v>
      </c>
    </row>
    <row r="7750" spans="18:18" ht="13.8">
      <c r="R7750" s="10">
        <v>7722</v>
      </c>
    </row>
    <row r="7751" spans="18:18" ht="13.8">
      <c r="R7751" s="10">
        <v>7723</v>
      </c>
    </row>
    <row r="7752" spans="18:18" ht="13.8">
      <c r="R7752" s="10">
        <v>7724</v>
      </c>
    </row>
    <row r="7753" spans="18:18" ht="13.8">
      <c r="R7753" s="10">
        <v>7725</v>
      </c>
    </row>
    <row r="7754" spans="18:18" ht="13.8">
      <c r="R7754" s="10">
        <v>7726</v>
      </c>
    </row>
    <row r="7755" spans="18:18" ht="13.8">
      <c r="R7755" s="10">
        <v>7727</v>
      </c>
    </row>
    <row r="7756" spans="18:18" ht="13.8">
      <c r="R7756" s="10">
        <v>7728</v>
      </c>
    </row>
    <row r="7757" spans="18:18" ht="13.8">
      <c r="R7757" s="10">
        <v>7729</v>
      </c>
    </row>
    <row r="7758" spans="18:18" ht="13.8">
      <c r="R7758" s="10">
        <v>7730</v>
      </c>
    </row>
    <row r="7759" spans="18:18" ht="13.8">
      <c r="R7759" s="10">
        <v>7731</v>
      </c>
    </row>
    <row r="7760" spans="18:18" ht="13.8">
      <c r="R7760" s="10">
        <v>7732</v>
      </c>
    </row>
    <row r="7761" spans="18:18" ht="13.8">
      <c r="R7761" s="10">
        <v>7733</v>
      </c>
    </row>
    <row r="7762" spans="18:18" ht="13.8">
      <c r="R7762" s="10">
        <v>7734</v>
      </c>
    </row>
    <row r="7763" spans="18:18" ht="13.8">
      <c r="R7763" s="10">
        <v>7735</v>
      </c>
    </row>
    <row r="7764" spans="18:18" ht="13.8">
      <c r="R7764" s="10">
        <v>7736</v>
      </c>
    </row>
    <row r="7765" spans="18:18" ht="13.8">
      <c r="R7765" s="10">
        <v>7737</v>
      </c>
    </row>
    <row r="7766" spans="18:18" ht="13.8">
      <c r="R7766" s="10">
        <v>7738</v>
      </c>
    </row>
    <row r="7767" spans="18:18" ht="13.8">
      <c r="R7767" s="10">
        <v>7739</v>
      </c>
    </row>
    <row r="7768" spans="18:18" ht="13.8">
      <c r="R7768" s="10">
        <v>7740</v>
      </c>
    </row>
    <row r="7769" spans="18:18" ht="13.8">
      <c r="R7769" s="10">
        <v>7741</v>
      </c>
    </row>
    <row r="7770" spans="18:18" ht="13.8">
      <c r="R7770" s="10">
        <v>7742</v>
      </c>
    </row>
    <row r="7771" spans="18:18" ht="13.8">
      <c r="R7771" s="10">
        <v>7743</v>
      </c>
    </row>
    <row r="7772" spans="18:18" ht="13.8">
      <c r="R7772" s="10">
        <v>7744</v>
      </c>
    </row>
    <row r="7773" spans="18:18" ht="13.8">
      <c r="R7773" s="10">
        <v>7745</v>
      </c>
    </row>
    <row r="7774" spans="18:18" ht="13.8">
      <c r="R7774" s="10">
        <v>7746</v>
      </c>
    </row>
    <row r="7775" spans="18:18" ht="13.8">
      <c r="R7775" s="10">
        <v>7747</v>
      </c>
    </row>
    <row r="7776" spans="18:18" ht="13.8">
      <c r="R7776" s="10">
        <v>7748</v>
      </c>
    </row>
    <row r="7777" spans="18:18" ht="13.8">
      <c r="R7777" s="10">
        <v>7749</v>
      </c>
    </row>
    <row r="7778" spans="18:18" ht="13.8">
      <c r="R7778" s="10">
        <v>7750</v>
      </c>
    </row>
    <row r="7779" spans="18:18" ht="13.8">
      <c r="R7779" s="10">
        <v>7751</v>
      </c>
    </row>
    <row r="7780" spans="18:18" ht="13.8">
      <c r="R7780" s="10">
        <v>7752</v>
      </c>
    </row>
    <row r="7781" spans="18:18" ht="13.8">
      <c r="R7781" s="10">
        <v>7753</v>
      </c>
    </row>
    <row r="7782" spans="18:18" ht="13.8">
      <c r="R7782" s="10">
        <v>7754</v>
      </c>
    </row>
    <row r="7783" spans="18:18" ht="13.8">
      <c r="R7783" s="10">
        <v>7755</v>
      </c>
    </row>
    <row r="7784" spans="18:18" ht="13.8">
      <c r="R7784" s="10">
        <v>7756</v>
      </c>
    </row>
    <row r="7785" spans="18:18" ht="13.8">
      <c r="R7785" s="10">
        <v>7757</v>
      </c>
    </row>
    <row r="7786" spans="18:18" ht="13.8">
      <c r="R7786" s="10">
        <v>7758</v>
      </c>
    </row>
    <row r="7787" spans="18:18" ht="13.8">
      <c r="R7787" s="10">
        <v>7759</v>
      </c>
    </row>
    <row r="7788" spans="18:18" ht="13.8">
      <c r="R7788" s="10">
        <v>7760</v>
      </c>
    </row>
    <row r="7789" spans="18:18" ht="13.8">
      <c r="R7789" s="10">
        <v>7761</v>
      </c>
    </row>
    <row r="7790" spans="18:18" ht="13.8">
      <c r="R7790" s="10">
        <v>7762</v>
      </c>
    </row>
    <row r="7791" spans="18:18" ht="13.8">
      <c r="R7791" s="10">
        <v>7763</v>
      </c>
    </row>
    <row r="7792" spans="18:18" ht="13.8">
      <c r="R7792" s="10">
        <v>7764</v>
      </c>
    </row>
    <row r="7793" spans="18:18" ht="13.8">
      <c r="R7793" s="10">
        <v>7765</v>
      </c>
    </row>
    <row r="7794" spans="18:18" ht="13.8">
      <c r="R7794" s="10">
        <v>7766</v>
      </c>
    </row>
    <row r="7795" spans="18:18" ht="13.8">
      <c r="R7795" s="10">
        <v>7767</v>
      </c>
    </row>
    <row r="7796" spans="18:18" ht="13.8">
      <c r="R7796" s="10">
        <v>7768</v>
      </c>
    </row>
    <row r="7797" spans="18:18" ht="13.8">
      <c r="R7797" s="10">
        <v>7769</v>
      </c>
    </row>
    <row r="7798" spans="18:18" ht="13.8">
      <c r="R7798" s="10">
        <v>7770</v>
      </c>
    </row>
    <row r="7799" spans="18:18" ht="13.8">
      <c r="R7799" s="10">
        <v>7771</v>
      </c>
    </row>
    <row r="7800" spans="18:18" ht="13.8">
      <c r="R7800" s="10">
        <v>7772</v>
      </c>
    </row>
    <row r="7801" spans="18:18" ht="13.8">
      <c r="R7801" s="10">
        <v>7773</v>
      </c>
    </row>
    <row r="7802" spans="18:18" ht="13.8">
      <c r="R7802" s="10">
        <v>7774</v>
      </c>
    </row>
    <row r="7803" spans="18:18" ht="13.8">
      <c r="R7803" s="10">
        <v>7775</v>
      </c>
    </row>
    <row r="7804" spans="18:18" ht="13.8">
      <c r="R7804" s="10">
        <v>7776</v>
      </c>
    </row>
    <row r="7805" spans="18:18" ht="13.8">
      <c r="R7805" s="10">
        <v>7777</v>
      </c>
    </row>
    <row r="7806" spans="18:18" ht="13.8">
      <c r="R7806" s="10">
        <v>7778</v>
      </c>
    </row>
    <row r="7807" spans="18:18" ht="13.8">
      <c r="R7807" s="10">
        <v>7779</v>
      </c>
    </row>
    <row r="7808" spans="18:18" ht="13.8">
      <c r="R7808" s="10">
        <v>7780</v>
      </c>
    </row>
    <row r="7809" spans="18:18" ht="13.8">
      <c r="R7809" s="10">
        <v>7781</v>
      </c>
    </row>
    <row r="7810" spans="18:18" ht="13.8">
      <c r="R7810" s="10">
        <v>7782</v>
      </c>
    </row>
    <row r="7811" spans="18:18" ht="13.8">
      <c r="R7811" s="10">
        <v>7783</v>
      </c>
    </row>
    <row r="7812" spans="18:18" ht="13.8">
      <c r="R7812" s="10">
        <v>7784</v>
      </c>
    </row>
    <row r="7813" spans="18:18" ht="13.8">
      <c r="R7813" s="10">
        <v>7785</v>
      </c>
    </row>
    <row r="7814" spans="18:18" ht="13.8">
      <c r="R7814" s="10">
        <v>7786</v>
      </c>
    </row>
    <row r="7815" spans="18:18" ht="13.8">
      <c r="R7815" s="10">
        <v>7787</v>
      </c>
    </row>
    <row r="7816" spans="18:18" ht="13.8">
      <c r="R7816" s="10">
        <v>7788</v>
      </c>
    </row>
    <row r="7817" spans="18:18" ht="13.8">
      <c r="R7817" s="10">
        <v>7789</v>
      </c>
    </row>
    <row r="7818" spans="18:18" ht="13.8">
      <c r="R7818" s="10">
        <v>7790</v>
      </c>
    </row>
    <row r="7819" spans="18:18" ht="13.8">
      <c r="R7819" s="10">
        <v>7791</v>
      </c>
    </row>
    <row r="7820" spans="18:18" ht="13.8">
      <c r="R7820" s="10">
        <v>7792</v>
      </c>
    </row>
    <row r="7821" spans="18:18" ht="13.8">
      <c r="R7821" s="10">
        <v>7793</v>
      </c>
    </row>
    <row r="7822" spans="18:18" ht="13.8">
      <c r="R7822" s="10">
        <v>7794</v>
      </c>
    </row>
    <row r="7823" spans="18:18" ht="13.8">
      <c r="R7823" s="10">
        <v>7795</v>
      </c>
    </row>
    <row r="7824" spans="18:18" ht="13.8">
      <c r="R7824" s="10">
        <v>7796</v>
      </c>
    </row>
    <row r="7825" spans="18:18" ht="13.8">
      <c r="R7825" s="10">
        <v>7797</v>
      </c>
    </row>
    <row r="7826" spans="18:18" ht="13.8">
      <c r="R7826" s="10">
        <v>7798</v>
      </c>
    </row>
    <row r="7827" spans="18:18" ht="13.8">
      <c r="R7827" s="10">
        <v>7799</v>
      </c>
    </row>
    <row r="7828" spans="18:18" ht="13.8">
      <c r="R7828" s="10">
        <v>7800</v>
      </c>
    </row>
    <row r="7829" spans="18:18" ht="13.8">
      <c r="R7829" s="10">
        <v>7801</v>
      </c>
    </row>
    <row r="7830" spans="18:18" ht="13.8">
      <c r="R7830" s="10">
        <v>7802</v>
      </c>
    </row>
    <row r="7831" spans="18:18" ht="13.8">
      <c r="R7831" s="10">
        <v>7803</v>
      </c>
    </row>
    <row r="7832" spans="18:18" ht="13.8">
      <c r="R7832" s="10">
        <v>7804</v>
      </c>
    </row>
    <row r="7833" spans="18:18" ht="13.8">
      <c r="R7833" s="10">
        <v>7805</v>
      </c>
    </row>
    <row r="7834" spans="18:18" ht="13.8">
      <c r="R7834" s="10">
        <v>7806</v>
      </c>
    </row>
    <row r="7835" spans="18:18" ht="13.8">
      <c r="R7835" s="10">
        <v>7807</v>
      </c>
    </row>
    <row r="7836" spans="18:18" ht="13.8">
      <c r="R7836" s="10">
        <v>7808</v>
      </c>
    </row>
    <row r="7837" spans="18:18" ht="13.8">
      <c r="R7837" s="10">
        <v>7809</v>
      </c>
    </row>
    <row r="7838" spans="18:18" ht="13.8">
      <c r="R7838" s="10">
        <v>7810</v>
      </c>
    </row>
    <row r="7839" spans="18:18" ht="13.8">
      <c r="R7839" s="10">
        <v>7811</v>
      </c>
    </row>
    <row r="7840" spans="18:18" ht="13.8">
      <c r="R7840" s="10">
        <v>7812</v>
      </c>
    </row>
    <row r="7841" spans="18:18" ht="13.8">
      <c r="R7841" s="10">
        <v>7813</v>
      </c>
    </row>
    <row r="7842" spans="18:18" ht="13.8">
      <c r="R7842" s="10">
        <v>7814</v>
      </c>
    </row>
    <row r="7843" spans="18:18" ht="13.8">
      <c r="R7843" s="10">
        <v>7815</v>
      </c>
    </row>
    <row r="7844" spans="18:18" ht="13.8">
      <c r="R7844" s="10">
        <v>7816</v>
      </c>
    </row>
    <row r="7845" spans="18:18" ht="13.8">
      <c r="R7845" s="10">
        <v>7817</v>
      </c>
    </row>
    <row r="7846" spans="18:18" ht="13.8">
      <c r="R7846" s="10">
        <v>7818</v>
      </c>
    </row>
    <row r="7847" spans="18:18" ht="13.8">
      <c r="R7847" s="10">
        <v>7819</v>
      </c>
    </row>
    <row r="7848" spans="18:18" ht="13.8">
      <c r="R7848" s="10">
        <v>7820</v>
      </c>
    </row>
    <row r="7849" spans="18:18" ht="13.8">
      <c r="R7849" s="10">
        <v>7821</v>
      </c>
    </row>
    <row r="7850" spans="18:18" ht="13.8">
      <c r="R7850" s="10">
        <v>7822</v>
      </c>
    </row>
    <row r="7851" spans="18:18" ht="13.8">
      <c r="R7851" s="10">
        <v>7823</v>
      </c>
    </row>
    <row r="7852" spans="18:18" ht="13.8">
      <c r="R7852" s="10">
        <v>7824</v>
      </c>
    </row>
    <row r="7853" spans="18:18" ht="13.8">
      <c r="R7853" s="10">
        <v>7825</v>
      </c>
    </row>
    <row r="7854" spans="18:18" ht="13.8">
      <c r="R7854" s="10">
        <v>7826</v>
      </c>
    </row>
    <row r="7855" spans="18:18" ht="13.8">
      <c r="R7855" s="10">
        <v>7827</v>
      </c>
    </row>
    <row r="7856" spans="18:18" ht="13.8">
      <c r="R7856" s="10">
        <v>7828</v>
      </c>
    </row>
    <row r="7857" spans="18:18" ht="13.8">
      <c r="R7857" s="10">
        <v>7829</v>
      </c>
    </row>
    <row r="7858" spans="18:18" ht="13.8">
      <c r="R7858" s="10">
        <v>7830</v>
      </c>
    </row>
    <row r="7859" spans="18:18" ht="13.8">
      <c r="R7859" s="10">
        <v>7831</v>
      </c>
    </row>
    <row r="7860" spans="18:18" ht="13.8">
      <c r="R7860" s="10">
        <v>7832</v>
      </c>
    </row>
    <row r="7861" spans="18:18" ht="13.8">
      <c r="R7861" s="10">
        <v>7833</v>
      </c>
    </row>
    <row r="7862" spans="18:18" ht="13.8">
      <c r="R7862" s="10">
        <v>7834</v>
      </c>
    </row>
    <row r="7863" spans="18:18" ht="13.8">
      <c r="R7863" s="10">
        <v>7835</v>
      </c>
    </row>
    <row r="7864" spans="18:18" ht="13.8">
      <c r="R7864" s="10">
        <v>7836</v>
      </c>
    </row>
    <row r="7865" spans="18:18" ht="13.8">
      <c r="R7865" s="10">
        <v>7837</v>
      </c>
    </row>
    <row r="7866" spans="18:18" ht="13.8">
      <c r="R7866" s="10">
        <v>7838</v>
      </c>
    </row>
    <row r="7867" spans="18:18" ht="13.8">
      <c r="R7867" s="10">
        <v>7839</v>
      </c>
    </row>
    <row r="7868" spans="18:18" ht="13.8">
      <c r="R7868" s="10">
        <v>7840</v>
      </c>
    </row>
    <row r="7869" spans="18:18" ht="13.8">
      <c r="R7869" s="10">
        <v>7841</v>
      </c>
    </row>
    <row r="7870" spans="18:18" ht="13.8">
      <c r="R7870" s="10">
        <v>7842</v>
      </c>
    </row>
    <row r="7871" spans="18:18" ht="13.8">
      <c r="R7871" s="10">
        <v>7843</v>
      </c>
    </row>
    <row r="7872" spans="18:18" ht="13.8">
      <c r="R7872" s="10">
        <v>7844</v>
      </c>
    </row>
    <row r="7873" spans="18:18" ht="13.8">
      <c r="R7873" s="10">
        <v>7845</v>
      </c>
    </row>
    <row r="7874" spans="18:18" ht="13.8">
      <c r="R7874" s="10">
        <v>7846</v>
      </c>
    </row>
    <row r="7875" spans="18:18" ht="13.8">
      <c r="R7875" s="10">
        <v>7847</v>
      </c>
    </row>
    <row r="7876" spans="18:18" ht="13.8">
      <c r="R7876" s="10">
        <v>7848</v>
      </c>
    </row>
    <row r="7877" spans="18:18" ht="13.8">
      <c r="R7877" s="10">
        <v>7849</v>
      </c>
    </row>
    <row r="7878" spans="18:18" ht="13.8">
      <c r="R7878" s="10">
        <v>7850</v>
      </c>
    </row>
    <row r="7879" spans="18:18" ht="13.8">
      <c r="R7879" s="10">
        <v>7851</v>
      </c>
    </row>
    <row r="7880" spans="18:18" ht="13.8">
      <c r="R7880" s="10">
        <v>7852</v>
      </c>
    </row>
    <row r="7881" spans="18:18" ht="13.8">
      <c r="R7881" s="10">
        <v>7853</v>
      </c>
    </row>
    <row r="7882" spans="18:18" ht="13.8">
      <c r="R7882" s="10">
        <v>7854</v>
      </c>
    </row>
    <row r="7883" spans="18:18" ht="13.8">
      <c r="R7883" s="10">
        <v>7855</v>
      </c>
    </row>
    <row r="7884" spans="18:18" ht="13.8">
      <c r="R7884" s="10">
        <v>7856</v>
      </c>
    </row>
    <row r="7885" spans="18:18" ht="13.8">
      <c r="R7885" s="10">
        <v>7857</v>
      </c>
    </row>
    <row r="7886" spans="18:18" ht="13.8">
      <c r="R7886" s="10">
        <v>7858</v>
      </c>
    </row>
    <row r="7887" spans="18:18" ht="13.8">
      <c r="R7887" s="10">
        <v>7859</v>
      </c>
    </row>
    <row r="7888" spans="18:18" ht="13.8">
      <c r="R7888" s="10">
        <v>7860</v>
      </c>
    </row>
    <row r="7889" spans="18:18" ht="13.8">
      <c r="R7889" s="10">
        <v>7861</v>
      </c>
    </row>
    <row r="7890" spans="18:18" ht="13.8">
      <c r="R7890" s="10">
        <v>7862</v>
      </c>
    </row>
    <row r="7891" spans="18:18" ht="13.8">
      <c r="R7891" s="10">
        <v>7863</v>
      </c>
    </row>
    <row r="7892" spans="18:18" ht="13.8">
      <c r="R7892" s="10">
        <v>7864</v>
      </c>
    </row>
    <row r="7893" spans="18:18" ht="13.8">
      <c r="R7893" s="10">
        <v>7865</v>
      </c>
    </row>
    <row r="7894" spans="18:18" ht="13.8">
      <c r="R7894" s="10">
        <v>7866</v>
      </c>
    </row>
    <row r="7895" spans="18:18" ht="13.8">
      <c r="R7895" s="10">
        <v>7867</v>
      </c>
    </row>
    <row r="7896" spans="18:18" ht="13.8">
      <c r="R7896" s="10">
        <v>7868</v>
      </c>
    </row>
    <row r="7897" spans="18:18" ht="13.8">
      <c r="R7897" s="10">
        <v>7869</v>
      </c>
    </row>
    <row r="7898" spans="18:18" ht="13.8">
      <c r="R7898" s="10">
        <v>7870</v>
      </c>
    </row>
    <row r="7899" spans="18:18" ht="13.8">
      <c r="R7899" s="10">
        <v>7871</v>
      </c>
    </row>
    <row r="7900" spans="18:18" ht="13.8">
      <c r="R7900" s="10">
        <v>7872</v>
      </c>
    </row>
    <row r="7901" spans="18:18" ht="13.8">
      <c r="R7901" s="10">
        <v>7873</v>
      </c>
    </row>
    <row r="7902" spans="18:18" ht="13.8">
      <c r="R7902" s="10">
        <v>7874</v>
      </c>
    </row>
    <row r="7903" spans="18:18" ht="13.8">
      <c r="R7903" s="10">
        <v>7875</v>
      </c>
    </row>
    <row r="7904" spans="18:18" ht="13.8">
      <c r="R7904" s="10">
        <v>7876</v>
      </c>
    </row>
    <row r="7905" spans="18:18" ht="13.8">
      <c r="R7905" s="10">
        <v>7877</v>
      </c>
    </row>
    <row r="7906" spans="18:18" ht="13.8">
      <c r="R7906" s="10">
        <v>7878</v>
      </c>
    </row>
    <row r="7907" spans="18:18" ht="13.8">
      <c r="R7907" s="10">
        <v>7879</v>
      </c>
    </row>
    <row r="7908" spans="18:18" ht="13.8">
      <c r="R7908" s="10">
        <v>7880</v>
      </c>
    </row>
    <row r="7909" spans="18:18" ht="13.8">
      <c r="R7909" s="10">
        <v>7881</v>
      </c>
    </row>
    <row r="7910" spans="18:18" ht="13.8">
      <c r="R7910" s="10">
        <v>7882</v>
      </c>
    </row>
    <row r="7911" spans="18:18" ht="13.8">
      <c r="R7911" s="10">
        <v>7883</v>
      </c>
    </row>
    <row r="7912" spans="18:18" ht="13.8">
      <c r="R7912" s="10">
        <v>7884</v>
      </c>
    </row>
    <row r="7913" spans="18:18" ht="13.8">
      <c r="R7913" s="10">
        <v>7885</v>
      </c>
    </row>
    <row r="7914" spans="18:18" ht="13.8">
      <c r="R7914" s="10">
        <v>7886</v>
      </c>
    </row>
    <row r="7915" spans="18:18" ht="13.8">
      <c r="R7915" s="10">
        <v>7887</v>
      </c>
    </row>
    <row r="7916" spans="18:18" ht="13.8">
      <c r="R7916" s="10">
        <v>7888</v>
      </c>
    </row>
    <row r="7917" spans="18:18" ht="13.8">
      <c r="R7917" s="10">
        <v>7889</v>
      </c>
    </row>
    <row r="7918" spans="18:18" ht="13.8">
      <c r="R7918" s="10">
        <v>7890</v>
      </c>
    </row>
    <row r="7919" spans="18:18" ht="13.8">
      <c r="R7919" s="10">
        <v>7891</v>
      </c>
    </row>
    <row r="7920" spans="18:18" ht="13.8">
      <c r="R7920" s="10">
        <v>7892</v>
      </c>
    </row>
    <row r="7921" spans="18:18" ht="13.8">
      <c r="R7921" s="10">
        <v>7893</v>
      </c>
    </row>
    <row r="7922" spans="18:18" ht="13.8">
      <c r="R7922" s="10">
        <v>7894</v>
      </c>
    </row>
    <row r="7923" spans="18:18" ht="13.8">
      <c r="R7923" s="10">
        <v>7895</v>
      </c>
    </row>
    <row r="7924" spans="18:18" ht="13.8">
      <c r="R7924" s="10">
        <v>7896</v>
      </c>
    </row>
    <row r="7925" spans="18:18" ht="13.8">
      <c r="R7925" s="10">
        <v>7897</v>
      </c>
    </row>
    <row r="7926" spans="18:18" ht="13.8">
      <c r="R7926" s="10">
        <v>7898</v>
      </c>
    </row>
    <row r="7927" spans="18:18" ht="13.8">
      <c r="R7927" s="10">
        <v>7899</v>
      </c>
    </row>
    <row r="7928" spans="18:18" ht="13.8">
      <c r="R7928" s="10">
        <v>7900</v>
      </c>
    </row>
    <row r="7929" spans="18:18" ht="13.8">
      <c r="R7929" s="10">
        <v>7901</v>
      </c>
    </row>
    <row r="7930" spans="18:18" ht="13.8">
      <c r="R7930" s="10">
        <v>7902</v>
      </c>
    </row>
    <row r="7931" spans="18:18" ht="13.8">
      <c r="R7931" s="10">
        <v>7903</v>
      </c>
    </row>
    <row r="7932" spans="18:18" ht="13.8">
      <c r="R7932" s="10">
        <v>7904</v>
      </c>
    </row>
    <row r="7933" spans="18:18" ht="13.8">
      <c r="R7933" s="10">
        <v>7905</v>
      </c>
    </row>
    <row r="7934" spans="18:18" ht="13.8">
      <c r="R7934" s="10">
        <v>7906</v>
      </c>
    </row>
    <row r="7935" spans="18:18" ht="13.8">
      <c r="R7935" s="10">
        <v>7907</v>
      </c>
    </row>
    <row r="7936" spans="18:18" ht="13.8">
      <c r="R7936" s="10">
        <v>7908</v>
      </c>
    </row>
    <row r="7937" spans="18:18" ht="13.8">
      <c r="R7937" s="10">
        <v>7909</v>
      </c>
    </row>
    <row r="7938" spans="18:18" ht="13.8">
      <c r="R7938" s="10">
        <v>7910</v>
      </c>
    </row>
    <row r="7939" spans="18:18" ht="13.8">
      <c r="R7939" s="10">
        <v>7911</v>
      </c>
    </row>
    <row r="7940" spans="18:18" ht="13.8">
      <c r="R7940" s="10">
        <v>7912</v>
      </c>
    </row>
    <row r="7941" spans="18:18" ht="13.8">
      <c r="R7941" s="10">
        <v>7913</v>
      </c>
    </row>
    <row r="7942" spans="18:18" ht="13.8">
      <c r="R7942" s="10">
        <v>7914</v>
      </c>
    </row>
    <row r="7943" spans="18:18" ht="13.8">
      <c r="R7943" s="10">
        <v>7915</v>
      </c>
    </row>
    <row r="7944" spans="18:18" ht="13.8">
      <c r="R7944" s="10">
        <v>7916</v>
      </c>
    </row>
    <row r="7945" spans="18:18" ht="13.8">
      <c r="R7945" s="10">
        <v>7917</v>
      </c>
    </row>
    <row r="7946" spans="18:18" ht="13.8">
      <c r="R7946" s="10">
        <v>7918</v>
      </c>
    </row>
    <row r="7947" spans="18:18" ht="13.8">
      <c r="R7947" s="10">
        <v>7919</v>
      </c>
    </row>
    <row r="7948" spans="18:18" ht="13.8">
      <c r="R7948" s="10">
        <v>7920</v>
      </c>
    </row>
    <row r="7949" spans="18:18" ht="13.8">
      <c r="R7949" s="10">
        <v>7921</v>
      </c>
    </row>
    <row r="7950" spans="18:18" ht="13.8">
      <c r="R7950" s="10">
        <v>7922</v>
      </c>
    </row>
    <row r="7951" spans="18:18" ht="13.8">
      <c r="R7951" s="10">
        <v>7923</v>
      </c>
    </row>
    <row r="7952" spans="18:18" ht="13.8">
      <c r="R7952" s="10">
        <v>7924</v>
      </c>
    </row>
    <row r="7953" spans="18:18" ht="13.8">
      <c r="R7953" s="10">
        <v>7925</v>
      </c>
    </row>
    <row r="7954" spans="18:18" ht="13.8">
      <c r="R7954" s="10">
        <v>7926</v>
      </c>
    </row>
    <row r="7955" spans="18:18" ht="13.8">
      <c r="R7955" s="10">
        <v>7927</v>
      </c>
    </row>
    <row r="7956" spans="18:18" ht="13.8">
      <c r="R7956" s="10">
        <v>7928</v>
      </c>
    </row>
    <row r="7957" spans="18:18" ht="13.8">
      <c r="R7957" s="10">
        <v>7929</v>
      </c>
    </row>
    <row r="7958" spans="18:18" ht="13.8">
      <c r="R7958" s="10">
        <v>7930</v>
      </c>
    </row>
    <row r="7959" spans="18:18" ht="13.8">
      <c r="R7959" s="10">
        <v>7931</v>
      </c>
    </row>
    <row r="7960" spans="18:18" ht="13.8">
      <c r="R7960" s="10">
        <v>7932</v>
      </c>
    </row>
    <row r="7961" spans="18:18" ht="13.8">
      <c r="R7961" s="10">
        <v>7933</v>
      </c>
    </row>
    <row r="7962" spans="18:18" ht="13.8">
      <c r="R7962" s="10">
        <v>7934</v>
      </c>
    </row>
    <row r="7963" spans="18:18" ht="13.8">
      <c r="R7963" s="10">
        <v>7935</v>
      </c>
    </row>
    <row r="7964" spans="18:18" ht="13.8">
      <c r="R7964" s="10">
        <v>7936</v>
      </c>
    </row>
    <row r="7965" spans="18:18" ht="13.8">
      <c r="R7965" s="10">
        <v>7937</v>
      </c>
    </row>
    <row r="7966" spans="18:18" ht="13.8">
      <c r="R7966" s="10">
        <v>7938</v>
      </c>
    </row>
    <row r="7967" spans="18:18" ht="13.8">
      <c r="R7967" s="10">
        <v>7939</v>
      </c>
    </row>
    <row r="7968" spans="18:18" ht="13.8">
      <c r="R7968" s="10">
        <v>7940</v>
      </c>
    </row>
    <row r="7969" spans="18:18" ht="13.8">
      <c r="R7969" s="10">
        <v>7941</v>
      </c>
    </row>
    <row r="7970" spans="18:18" ht="13.8">
      <c r="R7970" s="10">
        <v>7942</v>
      </c>
    </row>
    <row r="7971" spans="18:18" ht="13.8">
      <c r="R7971" s="10">
        <v>7943</v>
      </c>
    </row>
    <row r="7972" spans="18:18" ht="13.8">
      <c r="R7972" s="10">
        <v>7944</v>
      </c>
    </row>
    <row r="7973" spans="18:18" ht="13.8">
      <c r="R7973" s="10">
        <v>7945</v>
      </c>
    </row>
    <row r="7974" spans="18:18" ht="13.8">
      <c r="R7974" s="10">
        <v>7946</v>
      </c>
    </row>
    <row r="7975" spans="18:18" ht="13.8">
      <c r="R7975" s="10">
        <v>7947</v>
      </c>
    </row>
    <row r="7976" spans="18:18" ht="13.8">
      <c r="R7976" s="10">
        <v>7948</v>
      </c>
    </row>
    <row r="7977" spans="18:18" ht="13.8">
      <c r="R7977" s="10">
        <v>7949</v>
      </c>
    </row>
    <row r="7978" spans="18:18" ht="13.8">
      <c r="R7978" s="10">
        <v>7950</v>
      </c>
    </row>
    <row r="7979" spans="18:18" ht="13.8">
      <c r="R7979" s="10">
        <v>7951</v>
      </c>
    </row>
    <row r="7980" spans="18:18" ht="13.8">
      <c r="R7980" s="10">
        <v>7952</v>
      </c>
    </row>
    <row r="7981" spans="18:18" ht="13.8">
      <c r="R7981" s="10">
        <v>7953</v>
      </c>
    </row>
    <row r="7982" spans="18:18" ht="13.8">
      <c r="R7982" s="10">
        <v>7954</v>
      </c>
    </row>
    <row r="7983" spans="18:18" ht="13.8">
      <c r="R7983" s="10">
        <v>7955</v>
      </c>
    </row>
    <row r="7984" spans="18:18" ht="13.8">
      <c r="R7984" s="10">
        <v>7956</v>
      </c>
    </row>
    <row r="7985" spans="18:18" ht="13.8">
      <c r="R7985" s="10">
        <v>7957</v>
      </c>
    </row>
    <row r="7986" spans="18:18" ht="13.8">
      <c r="R7986" s="10">
        <v>7958</v>
      </c>
    </row>
    <row r="7987" spans="18:18" ht="13.8">
      <c r="R7987" s="10">
        <v>7959</v>
      </c>
    </row>
    <row r="7988" spans="18:18" ht="13.8">
      <c r="R7988" s="10">
        <v>7960</v>
      </c>
    </row>
    <row r="7989" spans="18:18" ht="13.8">
      <c r="R7989" s="10">
        <v>7961</v>
      </c>
    </row>
    <row r="7990" spans="18:18" ht="13.8">
      <c r="R7990" s="10">
        <v>7962</v>
      </c>
    </row>
    <row r="7991" spans="18:18" ht="13.8">
      <c r="R7991" s="10">
        <v>7963</v>
      </c>
    </row>
    <row r="7992" spans="18:18" ht="13.8">
      <c r="R7992" s="10">
        <v>7964</v>
      </c>
    </row>
    <row r="7993" spans="18:18" ht="13.8">
      <c r="R7993" s="10">
        <v>7965</v>
      </c>
    </row>
    <row r="7994" spans="18:18" ht="13.8">
      <c r="R7994" s="10">
        <v>7966</v>
      </c>
    </row>
    <row r="7995" spans="18:18" ht="13.8">
      <c r="R7995" s="10">
        <v>7967</v>
      </c>
    </row>
    <row r="7996" spans="18:18" ht="13.8">
      <c r="R7996" s="10">
        <v>7968</v>
      </c>
    </row>
    <row r="7997" spans="18:18" ht="13.8">
      <c r="R7997" s="10">
        <v>7969</v>
      </c>
    </row>
    <row r="7998" spans="18:18" ht="13.8">
      <c r="R7998" s="10">
        <v>7970</v>
      </c>
    </row>
    <row r="7999" spans="18:18" ht="13.8">
      <c r="R7999" s="10">
        <v>7971</v>
      </c>
    </row>
    <row r="8000" spans="18:18" ht="13.8">
      <c r="R8000" s="10">
        <v>7972</v>
      </c>
    </row>
    <row r="8001" spans="18:18" ht="13.8">
      <c r="R8001" s="10">
        <v>7973</v>
      </c>
    </row>
    <row r="8002" spans="18:18" ht="13.8">
      <c r="R8002" s="10">
        <v>7974</v>
      </c>
    </row>
    <row r="8003" spans="18:18" ht="13.8">
      <c r="R8003" s="10">
        <v>7975</v>
      </c>
    </row>
    <row r="8004" spans="18:18" ht="13.8">
      <c r="R8004" s="10">
        <v>7976</v>
      </c>
    </row>
    <row r="8005" spans="18:18" ht="13.8">
      <c r="R8005" s="10">
        <v>7977</v>
      </c>
    </row>
    <row r="8006" spans="18:18" ht="13.8">
      <c r="R8006" s="10">
        <v>7978</v>
      </c>
    </row>
    <row r="8007" spans="18:18" ht="13.8">
      <c r="R8007" s="10">
        <v>7979</v>
      </c>
    </row>
    <row r="8008" spans="18:18" ht="13.8">
      <c r="R8008" s="10">
        <v>7980</v>
      </c>
    </row>
    <row r="8009" spans="18:18" ht="13.8">
      <c r="R8009" s="10">
        <v>7981</v>
      </c>
    </row>
    <row r="8010" spans="18:18" ht="13.8">
      <c r="R8010" s="10">
        <v>7982</v>
      </c>
    </row>
    <row r="8011" spans="18:18" ht="13.8">
      <c r="R8011" s="10">
        <v>7983</v>
      </c>
    </row>
    <row r="8012" spans="18:18" ht="13.8">
      <c r="R8012" s="10">
        <v>7984</v>
      </c>
    </row>
    <row r="8013" spans="18:18" ht="13.8">
      <c r="R8013" s="10">
        <v>7985</v>
      </c>
    </row>
    <row r="8014" spans="18:18" ht="13.8">
      <c r="R8014" s="10">
        <v>7986</v>
      </c>
    </row>
    <row r="8015" spans="18:18" ht="13.8">
      <c r="R8015" s="10">
        <v>7987</v>
      </c>
    </row>
    <row r="8016" spans="18:18" ht="13.8">
      <c r="R8016" s="10">
        <v>7988</v>
      </c>
    </row>
    <row r="8017" spans="18:18" ht="13.8">
      <c r="R8017" s="10">
        <v>7989</v>
      </c>
    </row>
    <row r="8018" spans="18:18" ht="13.8">
      <c r="R8018" s="10">
        <v>7990</v>
      </c>
    </row>
    <row r="8019" spans="18:18" ht="13.8">
      <c r="R8019" s="10">
        <v>7991</v>
      </c>
    </row>
    <row r="8020" spans="18:18" ht="13.8">
      <c r="R8020" s="10">
        <v>7992</v>
      </c>
    </row>
    <row r="8021" spans="18:18" ht="13.8">
      <c r="R8021" s="10">
        <v>7993</v>
      </c>
    </row>
    <row r="8022" spans="18:18" ht="13.8">
      <c r="R8022" s="10">
        <v>7994</v>
      </c>
    </row>
    <row r="8023" spans="18:18" ht="13.8">
      <c r="R8023" s="10">
        <v>7995</v>
      </c>
    </row>
    <row r="8024" spans="18:18" ht="13.8">
      <c r="R8024" s="10">
        <v>7996</v>
      </c>
    </row>
    <row r="8025" spans="18:18" ht="13.8">
      <c r="R8025" s="10">
        <v>7997</v>
      </c>
    </row>
    <row r="8026" spans="18:18" ht="13.8">
      <c r="R8026" s="10">
        <v>7998</v>
      </c>
    </row>
    <row r="8027" spans="18:18" ht="13.8">
      <c r="R8027" s="10">
        <v>7999</v>
      </c>
    </row>
    <row r="8028" spans="18:18" ht="13.8">
      <c r="R8028" s="10">
        <v>8000</v>
      </c>
    </row>
    <row r="8029" spans="18:18" ht="13.8">
      <c r="R8029" s="10">
        <v>8001</v>
      </c>
    </row>
    <row r="8030" spans="18:18" ht="13.8">
      <c r="R8030" s="10">
        <v>8002</v>
      </c>
    </row>
    <row r="8031" spans="18:18" ht="13.8">
      <c r="R8031" s="10">
        <v>8003</v>
      </c>
    </row>
    <row r="8032" spans="18:18" ht="13.8">
      <c r="R8032" s="10">
        <v>8004</v>
      </c>
    </row>
    <row r="8033" spans="18:18" ht="13.8">
      <c r="R8033" s="10">
        <v>8005</v>
      </c>
    </row>
    <row r="8034" spans="18:18" ht="13.8">
      <c r="R8034" s="10">
        <v>8006</v>
      </c>
    </row>
    <row r="8035" spans="18:18" ht="13.8">
      <c r="R8035" s="10">
        <v>8007</v>
      </c>
    </row>
    <row r="8036" spans="18:18" ht="13.8">
      <c r="R8036" s="10">
        <v>8008</v>
      </c>
    </row>
    <row r="8037" spans="18:18" ht="13.8">
      <c r="R8037" s="10">
        <v>8009</v>
      </c>
    </row>
    <row r="8038" spans="18:18" ht="13.8">
      <c r="R8038" s="10">
        <v>8010</v>
      </c>
    </row>
    <row r="8039" spans="18:18" ht="13.8">
      <c r="R8039" s="10">
        <v>8011</v>
      </c>
    </row>
    <row r="8040" spans="18:18" ht="13.8">
      <c r="R8040" s="10">
        <v>8012</v>
      </c>
    </row>
    <row r="8041" spans="18:18" ht="13.8">
      <c r="R8041" s="10">
        <v>8013</v>
      </c>
    </row>
    <row r="8042" spans="18:18" ht="13.8">
      <c r="R8042" s="10">
        <v>8014</v>
      </c>
    </row>
    <row r="8043" spans="18:18" ht="13.8">
      <c r="R8043" s="10">
        <v>8015</v>
      </c>
    </row>
    <row r="8044" spans="18:18" ht="13.8">
      <c r="R8044" s="10">
        <v>8016</v>
      </c>
    </row>
    <row r="8045" spans="18:18" ht="13.8">
      <c r="R8045" s="10">
        <v>8017</v>
      </c>
    </row>
    <row r="8046" spans="18:18" ht="13.8">
      <c r="R8046" s="10">
        <v>8018</v>
      </c>
    </row>
    <row r="8047" spans="18:18" ht="13.8">
      <c r="R8047" s="10">
        <v>8019</v>
      </c>
    </row>
    <row r="8048" spans="18:18" ht="13.8">
      <c r="R8048" s="10">
        <v>8020</v>
      </c>
    </row>
    <row r="8049" spans="18:18" ht="13.8">
      <c r="R8049" s="10">
        <v>8021</v>
      </c>
    </row>
    <row r="8050" spans="18:18" ht="13.8">
      <c r="R8050" s="10">
        <v>8022</v>
      </c>
    </row>
    <row r="8051" spans="18:18" ht="13.8">
      <c r="R8051" s="10">
        <v>8023</v>
      </c>
    </row>
    <row r="8052" spans="18:18" ht="13.8">
      <c r="R8052" s="10">
        <v>8024</v>
      </c>
    </row>
    <row r="8053" spans="18:18" ht="13.8">
      <c r="R8053" s="10">
        <v>8025</v>
      </c>
    </row>
    <row r="8054" spans="18:18" ht="13.8">
      <c r="R8054" s="10">
        <v>8026</v>
      </c>
    </row>
    <row r="8055" spans="18:18" ht="13.8">
      <c r="R8055" s="10">
        <v>8027</v>
      </c>
    </row>
    <row r="8056" spans="18:18" ht="13.8">
      <c r="R8056" s="10">
        <v>8028</v>
      </c>
    </row>
    <row r="8057" spans="18:18" ht="13.8">
      <c r="R8057" s="10">
        <v>8029</v>
      </c>
    </row>
    <row r="8058" spans="18:18" ht="13.8">
      <c r="R8058" s="10">
        <v>8030</v>
      </c>
    </row>
    <row r="8059" spans="18:18" ht="13.8">
      <c r="R8059" s="10">
        <v>8031</v>
      </c>
    </row>
    <row r="8060" spans="18:18" ht="13.8">
      <c r="R8060" s="10">
        <v>8032</v>
      </c>
    </row>
    <row r="8061" spans="18:18" ht="13.8">
      <c r="R8061" s="10">
        <v>8033</v>
      </c>
    </row>
    <row r="8062" spans="18:18" ht="13.8">
      <c r="R8062" s="10">
        <v>8034</v>
      </c>
    </row>
    <row r="8063" spans="18:18" ht="13.8">
      <c r="R8063" s="10">
        <v>8035</v>
      </c>
    </row>
    <row r="8064" spans="18:18" ht="13.8">
      <c r="R8064" s="10">
        <v>8036</v>
      </c>
    </row>
    <row r="8065" spans="18:18" ht="13.8">
      <c r="R8065" s="10">
        <v>8037</v>
      </c>
    </row>
    <row r="8066" spans="18:18" ht="13.8">
      <c r="R8066" s="10">
        <v>8038</v>
      </c>
    </row>
    <row r="8067" spans="18:18" ht="13.8">
      <c r="R8067" s="10">
        <v>8039</v>
      </c>
    </row>
    <row r="8068" spans="18:18" ht="13.8">
      <c r="R8068" s="10">
        <v>8040</v>
      </c>
    </row>
    <row r="8069" spans="18:18" ht="13.8">
      <c r="R8069" s="10">
        <v>8041</v>
      </c>
    </row>
    <row r="8070" spans="18:18" ht="13.8">
      <c r="R8070" s="10">
        <v>8042</v>
      </c>
    </row>
    <row r="8071" spans="18:18" ht="13.8">
      <c r="R8071" s="10">
        <v>8043</v>
      </c>
    </row>
    <row r="8072" spans="18:18" ht="13.8">
      <c r="R8072" s="10">
        <v>8044</v>
      </c>
    </row>
    <row r="8073" spans="18:18" ht="13.8">
      <c r="R8073" s="10">
        <v>8045</v>
      </c>
    </row>
    <row r="8074" spans="18:18" ht="13.8">
      <c r="R8074" s="10">
        <v>8046</v>
      </c>
    </row>
    <row r="8075" spans="18:18" ht="13.8">
      <c r="R8075" s="10">
        <v>8047</v>
      </c>
    </row>
    <row r="8076" spans="18:18" ht="13.8">
      <c r="R8076" s="10">
        <v>8048</v>
      </c>
    </row>
    <row r="8077" spans="18:18" ht="13.8">
      <c r="R8077" s="10">
        <v>8049</v>
      </c>
    </row>
    <row r="8078" spans="18:18" ht="13.8">
      <c r="R8078" s="10">
        <v>8050</v>
      </c>
    </row>
    <row r="8079" spans="18:18" ht="13.8">
      <c r="R8079" s="10">
        <v>8051</v>
      </c>
    </row>
    <row r="8080" spans="18:18" ht="13.8">
      <c r="R8080" s="10">
        <v>8052</v>
      </c>
    </row>
    <row r="8081" spans="18:18" ht="13.8">
      <c r="R8081" s="10">
        <v>8053</v>
      </c>
    </row>
    <row r="8082" spans="18:18" ht="13.8">
      <c r="R8082" s="10">
        <v>8054</v>
      </c>
    </row>
    <row r="8083" spans="18:18" ht="13.8">
      <c r="R8083" s="10">
        <v>8055</v>
      </c>
    </row>
    <row r="8084" spans="18:18" ht="13.8">
      <c r="R8084" s="10">
        <v>8056</v>
      </c>
    </row>
    <row r="8085" spans="18:18" ht="13.8">
      <c r="R8085" s="10">
        <v>8057</v>
      </c>
    </row>
    <row r="8086" spans="18:18" ht="13.8">
      <c r="R8086" s="10">
        <v>8058</v>
      </c>
    </row>
    <row r="8087" spans="18:18" ht="13.8">
      <c r="R8087" s="10">
        <v>8059</v>
      </c>
    </row>
    <row r="8088" spans="18:18" ht="13.8">
      <c r="R8088" s="10">
        <v>8060</v>
      </c>
    </row>
    <row r="8089" spans="18:18" ht="13.8">
      <c r="R8089" s="10">
        <v>8061</v>
      </c>
    </row>
    <row r="8090" spans="18:18" ht="13.8">
      <c r="R8090" s="10">
        <v>8062</v>
      </c>
    </row>
    <row r="8091" spans="18:18" ht="13.8">
      <c r="R8091" s="10">
        <v>8063</v>
      </c>
    </row>
    <row r="8092" spans="18:18" ht="13.8">
      <c r="R8092" s="10">
        <v>8064</v>
      </c>
    </row>
    <row r="8093" spans="18:18" ht="13.8">
      <c r="R8093" s="10">
        <v>8065</v>
      </c>
    </row>
    <row r="8094" spans="18:18" ht="13.8">
      <c r="R8094" s="10">
        <v>8066</v>
      </c>
    </row>
    <row r="8095" spans="18:18" ht="13.8">
      <c r="R8095" s="10">
        <v>8067</v>
      </c>
    </row>
    <row r="8096" spans="18:18" ht="13.8">
      <c r="R8096" s="10">
        <v>8068</v>
      </c>
    </row>
    <row r="8097" spans="18:18" ht="13.8">
      <c r="R8097" s="10">
        <v>8069</v>
      </c>
    </row>
    <row r="8098" spans="18:18" ht="13.8">
      <c r="R8098" s="10">
        <v>8070</v>
      </c>
    </row>
    <row r="8099" spans="18:18" ht="13.8">
      <c r="R8099" s="10">
        <v>8071</v>
      </c>
    </row>
    <row r="8100" spans="18:18" ht="13.8">
      <c r="R8100" s="10">
        <v>8072</v>
      </c>
    </row>
    <row r="8101" spans="18:18" ht="13.8">
      <c r="R8101" s="10">
        <v>8073</v>
      </c>
    </row>
    <row r="8102" spans="18:18" ht="13.8">
      <c r="R8102" s="10">
        <v>8074</v>
      </c>
    </row>
    <row r="8103" spans="18:18" ht="13.8">
      <c r="R8103" s="10">
        <v>8075</v>
      </c>
    </row>
    <row r="8104" spans="18:18" ht="13.8">
      <c r="R8104" s="10">
        <v>8076</v>
      </c>
    </row>
    <row r="8105" spans="18:18" ht="13.8">
      <c r="R8105" s="10">
        <v>8077</v>
      </c>
    </row>
    <row r="8106" spans="18:18" ht="13.8">
      <c r="R8106" s="10">
        <v>8078</v>
      </c>
    </row>
    <row r="8107" spans="18:18" ht="13.8">
      <c r="R8107" s="10">
        <v>8079</v>
      </c>
    </row>
    <row r="8108" spans="18:18" ht="13.8">
      <c r="R8108" s="10">
        <v>8080</v>
      </c>
    </row>
    <row r="8109" spans="18:18" ht="13.8">
      <c r="R8109" s="10">
        <v>8081</v>
      </c>
    </row>
    <row r="8110" spans="18:18" ht="13.8">
      <c r="R8110" s="10">
        <v>8082</v>
      </c>
    </row>
    <row r="8111" spans="18:18" ht="13.8">
      <c r="R8111" s="10">
        <v>8083</v>
      </c>
    </row>
    <row r="8112" spans="18:18" ht="13.8">
      <c r="R8112" s="10">
        <v>8084</v>
      </c>
    </row>
    <row r="8113" spans="18:18" ht="13.8">
      <c r="R8113" s="10">
        <v>8085</v>
      </c>
    </row>
    <row r="8114" spans="18:18" ht="13.8">
      <c r="R8114" s="10">
        <v>8086</v>
      </c>
    </row>
    <row r="8115" spans="18:18" ht="13.8">
      <c r="R8115" s="10">
        <v>8087</v>
      </c>
    </row>
    <row r="8116" spans="18:18" ht="13.8">
      <c r="R8116" s="10">
        <v>8088</v>
      </c>
    </row>
    <row r="8117" spans="18:18" ht="13.8">
      <c r="R8117" s="10">
        <v>8089</v>
      </c>
    </row>
    <row r="8118" spans="18:18" ht="13.8">
      <c r="R8118" s="10">
        <v>8090</v>
      </c>
    </row>
    <row r="8119" spans="18:18" ht="13.8">
      <c r="R8119" s="10">
        <v>8091</v>
      </c>
    </row>
    <row r="8120" spans="18:18" ht="13.8">
      <c r="R8120" s="10">
        <v>8092</v>
      </c>
    </row>
    <row r="8121" spans="18:18" ht="13.8">
      <c r="R8121" s="10">
        <v>8093</v>
      </c>
    </row>
    <row r="8122" spans="18:18" ht="13.8">
      <c r="R8122" s="10">
        <v>8094</v>
      </c>
    </row>
    <row r="8123" spans="18:18" ht="13.8">
      <c r="R8123" s="10">
        <v>8095</v>
      </c>
    </row>
    <row r="8124" spans="18:18" ht="13.8">
      <c r="R8124" s="10">
        <v>8096</v>
      </c>
    </row>
    <row r="8125" spans="18:18" ht="13.8">
      <c r="R8125" s="10">
        <v>8097</v>
      </c>
    </row>
    <row r="8126" spans="18:18" ht="13.8">
      <c r="R8126" s="10">
        <v>8098</v>
      </c>
    </row>
    <row r="8127" spans="18:18" ht="13.8">
      <c r="R8127" s="10">
        <v>8099</v>
      </c>
    </row>
    <row r="8128" spans="18:18" ht="13.8">
      <c r="R8128" s="10">
        <v>8100</v>
      </c>
    </row>
    <row r="8129" spans="18:18" ht="13.8">
      <c r="R8129" s="10">
        <v>8101</v>
      </c>
    </row>
    <row r="8130" spans="18:18" ht="13.8">
      <c r="R8130" s="10">
        <v>8102</v>
      </c>
    </row>
    <row r="8131" spans="18:18" ht="13.8">
      <c r="R8131" s="10">
        <v>8103</v>
      </c>
    </row>
    <row r="8132" spans="18:18" ht="13.8">
      <c r="R8132" s="10">
        <v>8104</v>
      </c>
    </row>
    <row r="8133" spans="18:18" ht="13.8">
      <c r="R8133" s="10">
        <v>8105</v>
      </c>
    </row>
    <row r="8134" spans="18:18" ht="13.8">
      <c r="R8134" s="10">
        <v>8106</v>
      </c>
    </row>
    <row r="8135" spans="18:18" ht="13.8">
      <c r="R8135" s="10">
        <v>8107</v>
      </c>
    </row>
    <row r="8136" spans="18:18" ht="13.8">
      <c r="R8136" s="10">
        <v>8108</v>
      </c>
    </row>
    <row r="8137" spans="18:18" ht="13.8">
      <c r="R8137" s="10">
        <v>8109</v>
      </c>
    </row>
    <row r="8138" spans="18:18" ht="13.8">
      <c r="R8138" s="10">
        <v>8110</v>
      </c>
    </row>
    <row r="8139" spans="18:18" ht="13.8">
      <c r="R8139" s="10">
        <v>8111</v>
      </c>
    </row>
    <row r="8140" spans="18:18" ht="13.8">
      <c r="R8140" s="10">
        <v>8112</v>
      </c>
    </row>
    <row r="8141" spans="18:18" ht="13.8">
      <c r="R8141" s="10">
        <v>8113</v>
      </c>
    </row>
    <row r="8142" spans="18:18" ht="13.8">
      <c r="R8142" s="10">
        <v>8114</v>
      </c>
    </row>
    <row r="8143" spans="18:18" ht="13.8">
      <c r="R8143" s="10">
        <v>8115</v>
      </c>
    </row>
    <row r="8144" spans="18:18" ht="13.8">
      <c r="R8144" s="10">
        <v>8116</v>
      </c>
    </row>
    <row r="8145" spans="18:18" ht="13.8">
      <c r="R8145" s="10">
        <v>8117</v>
      </c>
    </row>
    <row r="8146" spans="18:18" ht="13.8">
      <c r="R8146" s="10">
        <v>8118</v>
      </c>
    </row>
    <row r="8147" spans="18:18" ht="13.8">
      <c r="R8147" s="10">
        <v>8119</v>
      </c>
    </row>
    <row r="8148" spans="18:18" ht="13.8">
      <c r="R8148" s="10">
        <v>8120</v>
      </c>
    </row>
    <row r="8149" spans="18:18" ht="13.8">
      <c r="R8149" s="10">
        <v>8121</v>
      </c>
    </row>
    <row r="8150" spans="18:18" ht="13.8">
      <c r="R8150" s="10">
        <v>8122</v>
      </c>
    </row>
    <row r="8151" spans="18:18" ht="13.8">
      <c r="R8151" s="10">
        <v>8123</v>
      </c>
    </row>
    <row r="8152" spans="18:18" ht="13.8">
      <c r="R8152" s="10">
        <v>8124</v>
      </c>
    </row>
    <row r="8153" spans="18:18" ht="13.8">
      <c r="R8153" s="10">
        <v>8125</v>
      </c>
    </row>
    <row r="8154" spans="18:18" ht="13.8">
      <c r="R8154" s="10">
        <v>8126</v>
      </c>
    </row>
    <row r="8155" spans="18:18" ht="13.8">
      <c r="R8155" s="10">
        <v>8127</v>
      </c>
    </row>
    <row r="8156" spans="18:18" ht="13.8">
      <c r="R8156" s="10">
        <v>8128</v>
      </c>
    </row>
    <row r="8157" spans="18:18" ht="13.8">
      <c r="R8157" s="10">
        <v>8129</v>
      </c>
    </row>
    <row r="8158" spans="18:18" ht="13.8">
      <c r="R8158" s="10">
        <v>8130</v>
      </c>
    </row>
    <row r="8159" spans="18:18" ht="13.8">
      <c r="R8159" s="10">
        <v>8131</v>
      </c>
    </row>
    <row r="8160" spans="18:18" ht="13.8">
      <c r="R8160" s="10">
        <v>8132</v>
      </c>
    </row>
    <row r="8161" spans="18:18" ht="13.8">
      <c r="R8161" s="10">
        <v>8133</v>
      </c>
    </row>
    <row r="8162" spans="18:18" ht="13.8">
      <c r="R8162" s="10">
        <v>8134</v>
      </c>
    </row>
    <row r="8163" spans="18:18" ht="13.8">
      <c r="R8163" s="10">
        <v>8135</v>
      </c>
    </row>
    <row r="8164" spans="18:18" ht="13.8">
      <c r="R8164" s="10">
        <v>8136</v>
      </c>
    </row>
    <row r="8165" spans="18:18" ht="13.8">
      <c r="R8165" s="10">
        <v>8137</v>
      </c>
    </row>
    <row r="8166" spans="18:18" ht="13.8">
      <c r="R8166" s="10">
        <v>8138</v>
      </c>
    </row>
    <row r="8167" spans="18:18" ht="13.8">
      <c r="R8167" s="10">
        <v>8139</v>
      </c>
    </row>
    <row r="8168" spans="18:18" ht="13.8">
      <c r="R8168" s="10">
        <v>8140</v>
      </c>
    </row>
    <row r="8169" spans="18:18" ht="13.8">
      <c r="R8169" s="10">
        <v>8141</v>
      </c>
    </row>
    <row r="8170" spans="18:18" ht="13.8">
      <c r="R8170" s="10">
        <v>8142</v>
      </c>
    </row>
    <row r="8171" spans="18:18" ht="13.8">
      <c r="R8171" s="10">
        <v>8143</v>
      </c>
    </row>
    <row r="8172" spans="18:18" ht="13.8">
      <c r="R8172" s="10">
        <v>8144</v>
      </c>
    </row>
    <row r="8173" spans="18:18" ht="13.8">
      <c r="R8173" s="10">
        <v>8145</v>
      </c>
    </row>
    <row r="8174" spans="18:18" ht="13.8">
      <c r="R8174" s="10">
        <v>8146</v>
      </c>
    </row>
    <row r="8175" spans="18:18" ht="13.8">
      <c r="R8175" s="10">
        <v>8147</v>
      </c>
    </row>
    <row r="8176" spans="18:18" ht="13.8">
      <c r="R8176" s="10">
        <v>8148</v>
      </c>
    </row>
    <row r="8177" spans="18:18" ht="13.8">
      <c r="R8177" s="10">
        <v>8149</v>
      </c>
    </row>
    <row r="8178" spans="18:18" ht="13.8">
      <c r="R8178" s="10">
        <v>8150</v>
      </c>
    </row>
    <row r="8179" spans="18:18" ht="13.8">
      <c r="R8179" s="10">
        <v>8151</v>
      </c>
    </row>
    <row r="8180" spans="18:18" ht="13.8">
      <c r="R8180" s="10">
        <v>8152</v>
      </c>
    </row>
    <row r="8181" spans="18:18" ht="13.8">
      <c r="R8181" s="10">
        <v>8153</v>
      </c>
    </row>
    <row r="8182" spans="18:18" ht="13.8">
      <c r="R8182" s="10">
        <v>8154</v>
      </c>
    </row>
    <row r="8183" spans="18:18" ht="13.8">
      <c r="R8183" s="10">
        <v>8155</v>
      </c>
    </row>
    <row r="8184" spans="18:18" ht="13.8">
      <c r="R8184" s="10">
        <v>8156</v>
      </c>
    </row>
    <row r="8185" spans="18:18" ht="13.8">
      <c r="R8185" s="10">
        <v>8157</v>
      </c>
    </row>
    <row r="8186" spans="18:18" ht="13.8">
      <c r="R8186" s="10">
        <v>8158</v>
      </c>
    </row>
    <row r="8187" spans="18:18" ht="13.8">
      <c r="R8187" s="10">
        <v>8159</v>
      </c>
    </row>
    <row r="8188" spans="18:18" ht="13.8">
      <c r="R8188" s="10">
        <v>8160</v>
      </c>
    </row>
    <row r="8189" spans="18:18" ht="13.8">
      <c r="R8189" s="10">
        <v>8161</v>
      </c>
    </row>
    <row r="8190" spans="18:18" ht="13.8">
      <c r="R8190" s="10">
        <v>8162</v>
      </c>
    </row>
    <row r="8191" spans="18:18" ht="13.8">
      <c r="R8191" s="10">
        <v>8163</v>
      </c>
    </row>
    <row r="8192" spans="18:18" ht="13.8">
      <c r="R8192" s="10">
        <v>8164</v>
      </c>
    </row>
    <row r="8193" spans="18:18" ht="13.8">
      <c r="R8193" s="10">
        <v>8165</v>
      </c>
    </row>
    <row r="8194" spans="18:18" ht="13.8">
      <c r="R8194" s="10">
        <v>8166</v>
      </c>
    </row>
    <row r="8195" spans="18:18" ht="13.8">
      <c r="R8195" s="10">
        <v>8167</v>
      </c>
    </row>
    <row r="8196" spans="18:18" ht="13.8">
      <c r="R8196" s="10">
        <v>8168</v>
      </c>
    </row>
    <row r="8197" spans="18:18" ht="13.8">
      <c r="R8197" s="10">
        <v>8169</v>
      </c>
    </row>
    <row r="8198" spans="18:18" ht="13.8">
      <c r="R8198" s="10">
        <v>8170</v>
      </c>
    </row>
    <row r="8199" spans="18:18" ht="13.8">
      <c r="R8199" s="10">
        <v>8171</v>
      </c>
    </row>
    <row r="8200" spans="18:18" ht="13.8">
      <c r="R8200" s="10">
        <v>8172</v>
      </c>
    </row>
    <row r="8201" spans="18:18" ht="13.8">
      <c r="R8201" s="10">
        <v>8173</v>
      </c>
    </row>
    <row r="8202" spans="18:18" ht="13.8">
      <c r="R8202" s="10">
        <v>8174</v>
      </c>
    </row>
    <row r="8203" spans="18:18" ht="13.8">
      <c r="R8203" s="10">
        <v>8175</v>
      </c>
    </row>
    <row r="8204" spans="18:18" ht="13.8">
      <c r="R8204" s="10">
        <v>8176</v>
      </c>
    </row>
    <row r="8205" spans="18:18" ht="13.8">
      <c r="R8205" s="10">
        <v>8177</v>
      </c>
    </row>
    <row r="8206" spans="18:18" ht="13.8">
      <c r="R8206" s="10">
        <v>8178</v>
      </c>
    </row>
    <row r="8207" spans="18:18" ht="13.8">
      <c r="R8207" s="10">
        <v>8179</v>
      </c>
    </row>
    <row r="8208" spans="18:18" ht="13.8">
      <c r="R8208" s="10">
        <v>8180</v>
      </c>
    </row>
    <row r="8209" spans="18:18" ht="13.8">
      <c r="R8209" s="10">
        <v>8181</v>
      </c>
    </row>
    <row r="8210" spans="18:18" ht="13.8">
      <c r="R8210" s="10">
        <v>8182</v>
      </c>
    </row>
    <row r="8211" spans="18:18" ht="13.8">
      <c r="R8211" s="10">
        <v>8183</v>
      </c>
    </row>
    <row r="8212" spans="18:18" ht="13.8">
      <c r="R8212" s="10">
        <v>8184</v>
      </c>
    </row>
    <row r="8213" spans="18:18" ht="13.8">
      <c r="R8213" s="10">
        <v>8185</v>
      </c>
    </row>
    <row r="8214" spans="18:18" ht="13.8">
      <c r="R8214" s="10">
        <v>8186</v>
      </c>
    </row>
    <row r="8215" spans="18:18" ht="13.8">
      <c r="R8215" s="10">
        <v>8187</v>
      </c>
    </row>
    <row r="8216" spans="18:18" ht="13.8">
      <c r="R8216" s="10">
        <v>8188</v>
      </c>
    </row>
    <row r="8217" spans="18:18" ht="13.8">
      <c r="R8217" s="10">
        <v>8189</v>
      </c>
    </row>
    <row r="8218" spans="18:18" ht="13.8">
      <c r="R8218" s="10">
        <v>8190</v>
      </c>
    </row>
    <row r="8219" spans="18:18" ht="13.8">
      <c r="R8219" s="10">
        <v>8191</v>
      </c>
    </row>
    <row r="8220" spans="18:18" ht="13.8">
      <c r="R8220" s="10">
        <v>8192</v>
      </c>
    </row>
    <row r="8221" spans="18:18" ht="13.8">
      <c r="R8221" s="10">
        <v>8193</v>
      </c>
    </row>
    <row r="8222" spans="18:18" ht="13.8">
      <c r="R8222" s="10">
        <v>8194</v>
      </c>
    </row>
    <row r="8223" spans="18:18" ht="13.8">
      <c r="R8223" s="10">
        <v>8195</v>
      </c>
    </row>
    <row r="8224" spans="18:18" ht="13.8">
      <c r="R8224" s="10">
        <v>8196</v>
      </c>
    </row>
    <row r="8225" spans="18:18" ht="13.8">
      <c r="R8225" s="10">
        <v>8197</v>
      </c>
    </row>
    <row r="8226" spans="18:18" ht="13.8">
      <c r="R8226" s="10">
        <v>8198</v>
      </c>
    </row>
    <row r="8227" spans="18:18" ht="13.8">
      <c r="R8227" s="10">
        <v>8199</v>
      </c>
    </row>
    <row r="8228" spans="18:18" ht="13.8">
      <c r="R8228" s="10">
        <v>8200</v>
      </c>
    </row>
    <row r="8229" spans="18:18" ht="13.8">
      <c r="R8229" s="10">
        <v>8201</v>
      </c>
    </row>
    <row r="8230" spans="18:18" ht="13.8">
      <c r="R8230" s="10">
        <v>8202</v>
      </c>
    </row>
    <row r="8231" spans="18:18" ht="13.8">
      <c r="R8231" s="10">
        <v>8203</v>
      </c>
    </row>
    <row r="8232" spans="18:18" ht="13.8">
      <c r="R8232" s="10">
        <v>8204</v>
      </c>
    </row>
    <row r="8233" spans="18:18" ht="13.8">
      <c r="R8233" s="10">
        <v>8205</v>
      </c>
    </row>
    <row r="8234" spans="18:18" ht="13.8">
      <c r="R8234" s="10">
        <v>8206</v>
      </c>
    </row>
    <row r="8235" spans="18:18" ht="13.8">
      <c r="R8235" s="10">
        <v>8207</v>
      </c>
    </row>
    <row r="8236" spans="18:18" ht="13.8">
      <c r="R8236" s="10">
        <v>8208</v>
      </c>
    </row>
    <row r="8237" spans="18:18" ht="13.8">
      <c r="R8237" s="10">
        <v>8209</v>
      </c>
    </row>
    <row r="8238" spans="18:18" ht="13.8">
      <c r="R8238" s="10">
        <v>8210</v>
      </c>
    </row>
    <row r="8239" spans="18:18" ht="13.8">
      <c r="R8239" s="10">
        <v>8211</v>
      </c>
    </row>
    <row r="8240" spans="18:18" ht="13.8">
      <c r="R8240" s="10">
        <v>8212</v>
      </c>
    </row>
    <row r="8241" spans="18:18" ht="13.8">
      <c r="R8241" s="10">
        <v>8213</v>
      </c>
    </row>
    <row r="8242" spans="18:18" ht="13.8">
      <c r="R8242" s="10">
        <v>8214</v>
      </c>
    </row>
    <row r="8243" spans="18:18" ht="13.8">
      <c r="R8243" s="10">
        <v>8215</v>
      </c>
    </row>
    <row r="8244" spans="18:18" ht="13.8">
      <c r="R8244" s="10">
        <v>8216</v>
      </c>
    </row>
    <row r="8245" spans="18:18" ht="13.8">
      <c r="R8245" s="10">
        <v>8217</v>
      </c>
    </row>
    <row r="8246" spans="18:18" ht="13.8">
      <c r="R8246" s="10">
        <v>8218</v>
      </c>
    </row>
    <row r="8247" spans="18:18" ht="13.8">
      <c r="R8247" s="10">
        <v>8219</v>
      </c>
    </row>
    <row r="8248" spans="18:18" ht="13.8">
      <c r="R8248" s="10">
        <v>8220</v>
      </c>
    </row>
    <row r="8249" spans="18:18" ht="13.8">
      <c r="R8249" s="10">
        <v>8221</v>
      </c>
    </row>
    <row r="8250" spans="18:18" ht="13.8">
      <c r="R8250" s="10">
        <v>8222</v>
      </c>
    </row>
    <row r="8251" spans="18:18" ht="13.8">
      <c r="R8251" s="10">
        <v>8223</v>
      </c>
    </row>
    <row r="8252" spans="18:18" ht="13.8">
      <c r="R8252" s="10">
        <v>8224</v>
      </c>
    </row>
    <row r="8253" spans="18:18" ht="13.8">
      <c r="R8253" s="10">
        <v>8225</v>
      </c>
    </row>
    <row r="8254" spans="18:18" ht="13.8">
      <c r="R8254" s="10">
        <v>8226</v>
      </c>
    </row>
    <row r="8255" spans="18:18" ht="13.8">
      <c r="R8255" s="10">
        <v>8227</v>
      </c>
    </row>
    <row r="8256" spans="18:18" ht="13.8">
      <c r="R8256" s="10">
        <v>8228</v>
      </c>
    </row>
    <row r="8257" spans="18:18" ht="13.8">
      <c r="R8257" s="10">
        <v>8229</v>
      </c>
    </row>
    <row r="8258" spans="18:18" ht="13.8">
      <c r="R8258" s="10">
        <v>8230</v>
      </c>
    </row>
    <row r="8259" spans="18:18" ht="13.8">
      <c r="R8259" s="10">
        <v>8231</v>
      </c>
    </row>
    <row r="8260" spans="18:18" ht="13.8">
      <c r="R8260" s="10">
        <v>8232</v>
      </c>
    </row>
    <row r="8261" spans="18:18" ht="13.8">
      <c r="R8261" s="10">
        <v>8233</v>
      </c>
    </row>
    <row r="8262" spans="18:18" ht="13.8">
      <c r="R8262" s="10">
        <v>8234</v>
      </c>
    </row>
    <row r="8263" spans="18:18" ht="13.8">
      <c r="R8263" s="10">
        <v>8235</v>
      </c>
    </row>
    <row r="8264" spans="18:18" ht="13.8">
      <c r="R8264" s="10">
        <v>8236</v>
      </c>
    </row>
    <row r="8265" spans="18:18" ht="13.8">
      <c r="R8265" s="10">
        <v>8237</v>
      </c>
    </row>
    <row r="8266" spans="18:18" ht="13.8">
      <c r="R8266" s="10">
        <v>8238</v>
      </c>
    </row>
    <row r="8267" spans="18:18" ht="13.8">
      <c r="R8267" s="10">
        <v>8239</v>
      </c>
    </row>
    <row r="8268" spans="18:18" ht="13.8">
      <c r="R8268" s="10">
        <v>8240</v>
      </c>
    </row>
    <row r="8269" spans="18:18" ht="13.8">
      <c r="R8269" s="10">
        <v>8241</v>
      </c>
    </row>
    <row r="8270" spans="18:18" ht="13.8">
      <c r="R8270" s="10">
        <v>8242</v>
      </c>
    </row>
    <row r="8271" spans="18:18" ht="13.8">
      <c r="R8271" s="10">
        <v>8243</v>
      </c>
    </row>
    <row r="8272" spans="18:18" ht="13.8">
      <c r="R8272" s="10">
        <v>8244</v>
      </c>
    </row>
    <row r="8273" spans="18:18" ht="13.8">
      <c r="R8273" s="10">
        <v>8245</v>
      </c>
    </row>
    <row r="8274" spans="18:18" ht="13.8">
      <c r="R8274" s="10">
        <v>8246</v>
      </c>
    </row>
    <row r="8275" spans="18:18" ht="13.8">
      <c r="R8275" s="10">
        <v>8247</v>
      </c>
    </row>
    <row r="8276" spans="18:18" ht="13.8">
      <c r="R8276" s="10">
        <v>8248</v>
      </c>
    </row>
    <row r="8277" spans="18:18" ht="13.8">
      <c r="R8277" s="10">
        <v>8249</v>
      </c>
    </row>
    <row r="8278" spans="18:18" ht="13.8">
      <c r="R8278" s="10">
        <v>8250</v>
      </c>
    </row>
    <row r="8279" spans="18:18" ht="13.8">
      <c r="R8279" s="10">
        <v>8251</v>
      </c>
    </row>
    <row r="8280" spans="18:18" ht="13.8">
      <c r="R8280" s="10">
        <v>8252</v>
      </c>
    </row>
    <row r="8281" spans="18:18" ht="13.8">
      <c r="R8281" s="10">
        <v>8253</v>
      </c>
    </row>
    <row r="8282" spans="18:18" ht="13.8">
      <c r="R8282" s="10">
        <v>8254</v>
      </c>
    </row>
    <row r="8283" spans="18:18" ht="13.8">
      <c r="R8283" s="10">
        <v>8255</v>
      </c>
    </row>
    <row r="8284" spans="18:18" ht="13.8">
      <c r="R8284" s="10">
        <v>8256</v>
      </c>
    </row>
    <row r="8285" spans="18:18" ht="13.8">
      <c r="R8285" s="10">
        <v>8257</v>
      </c>
    </row>
    <row r="8286" spans="18:18" ht="13.8">
      <c r="R8286" s="10">
        <v>8258</v>
      </c>
    </row>
    <row r="8287" spans="18:18" ht="13.8">
      <c r="R8287" s="10">
        <v>8259</v>
      </c>
    </row>
    <row r="8288" spans="18:18" ht="13.8">
      <c r="R8288" s="10">
        <v>8260</v>
      </c>
    </row>
    <row r="8289" spans="18:18" ht="13.8">
      <c r="R8289" s="10">
        <v>8261</v>
      </c>
    </row>
    <row r="8290" spans="18:18" ht="13.8">
      <c r="R8290" s="10">
        <v>8262</v>
      </c>
    </row>
    <row r="8291" spans="18:18" ht="13.8">
      <c r="R8291" s="10">
        <v>8263</v>
      </c>
    </row>
    <row r="8292" spans="18:18" ht="13.8">
      <c r="R8292" s="10">
        <v>8264</v>
      </c>
    </row>
    <row r="8293" spans="18:18" ht="13.8">
      <c r="R8293" s="10">
        <v>8265</v>
      </c>
    </row>
    <row r="8294" spans="18:18" ht="13.8">
      <c r="R8294" s="10">
        <v>8266</v>
      </c>
    </row>
    <row r="8295" spans="18:18" ht="13.8">
      <c r="R8295" s="10">
        <v>8267</v>
      </c>
    </row>
    <row r="8296" spans="18:18" ht="13.8">
      <c r="R8296" s="10">
        <v>8268</v>
      </c>
    </row>
    <row r="8297" spans="18:18" ht="13.8">
      <c r="R8297" s="10">
        <v>8269</v>
      </c>
    </row>
    <row r="8298" spans="18:18" ht="13.8">
      <c r="R8298" s="10">
        <v>8270</v>
      </c>
    </row>
    <row r="8299" spans="18:18" ht="13.8">
      <c r="R8299" s="10">
        <v>8271</v>
      </c>
    </row>
    <row r="8300" spans="18:18" ht="13.8">
      <c r="R8300" s="10">
        <v>8272</v>
      </c>
    </row>
    <row r="8301" spans="18:18" ht="13.8">
      <c r="R8301" s="10">
        <v>8273</v>
      </c>
    </row>
    <row r="8302" spans="18:18" ht="13.8">
      <c r="R8302" s="10">
        <v>8274</v>
      </c>
    </row>
    <row r="8303" spans="18:18" ht="13.8">
      <c r="R8303" s="10">
        <v>8275</v>
      </c>
    </row>
    <row r="8304" spans="18:18" ht="13.8">
      <c r="R8304" s="10">
        <v>8276</v>
      </c>
    </row>
    <row r="8305" spans="18:18" ht="13.8">
      <c r="R8305" s="10">
        <v>8277</v>
      </c>
    </row>
    <row r="8306" spans="18:18" ht="13.8">
      <c r="R8306" s="10">
        <v>8278</v>
      </c>
    </row>
    <row r="8307" spans="18:18" ht="13.8">
      <c r="R8307" s="10">
        <v>8279</v>
      </c>
    </row>
    <row r="8308" spans="18:18" ht="13.8">
      <c r="R8308" s="10">
        <v>8280</v>
      </c>
    </row>
    <row r="8309" spans="18:18" ht="13.8">
      <c r="R8309" s="10">
        <v>8281</v>
      </c>
    </row>
    <row r="8310" spans="18:18" ht="13.8">
      <c r="R8310" s="10">
        <v>8282</v>
      </c>
    </row>
    <row r="8311" spans="18:18" ht="13.8">
      <c r="R8311" s="10">
        <v>8283</v>
      </c>
    </row>
    <row r="8312" spans="18:18" ht="13.8">
      <c r="R8312" s="10">
        <v>8284</v>
      </c>
    </row>
    <row r="8313" spans="18:18" ht="13.8">
      <c r="R8313" s="10">
        <v>8285</v>
      </c>
    </row>
    <row r="8314" spans="18:18" ht="13.8">
      <c r="R8314" s="10">
        <v>8286</v>
      </c>
    </row>
    <row r="8315" spans="18:18" ht="13.8">
      <c r="R8315" s="10">
        <v>8287</v>
      </c>
    </row>
    <row r="8316" spans="18:18" ht="13.8">
      <c r="R8316" s="10">
        <v>8288</v>
      </c>
    </row>
    <row r="8317" spans="18:18" ht="13.8">
      <c r="R8317" s="10">
        <v>8289</v>
      </c>
    </row>
    <row r="8318" spans="18:18" ht="13.8">
      <c r="R8318" s="10">
        <v>8290</v>
      </c>
    </row>
    <row r="8319" spans="18:18" ht="13.8">
      <c r="R8319" s="10">
        <v>8291</v>
      </c>
    </row>
    <row r="8320" spans="18:18" ht="13.8">
      <c r="R8320" s="10">
        <v>8292</v>
      </c>
    </row>
    <row r="8321" spans="18:18" ht="13.8">
      <c r="R8321" s="10">
        <v>8293</v>
      </c>
    </row>
    <row r="8322" spans="18:18" ht="13.8">
      <c r="R8322" s="10">
        <v>8294</v>
      </c>
    </row>
    <row r="8323" spans="18:18" ht="13.8">
      <c r="R8323" s="10">
        <v>8295</v>
      </c>
    </row>
    <row r="8324" spans="18:18" ht="13.8">
      <c r="R8324" s="10">
        <v>8296</v>
      </c>
    </row>
    <row r="8325" spans="18:18" ht="13.8">
      <c r="R8325" s="10">
        <v>8297</v>
      </c>
    </row>
    <row r="8326" spans="18:18" ht="13.8">
      <c r="R8326" s="10">
        <v>8298</v>
      </c>
    </row>
    <row r="8327" spans="18:18" ht="13.8">
      <c r="R8327" s="10">
        <v>8299</v>
      </c>
    </row>
    <row r="8328" spans="18:18" ht="13.8">
      <c r="R8328" s="10">
        <v>8300</v>
      </c>
    </row>
    <row r="8329" spans="18:18" ht="13.8">
      <c r="R8329" s="10">
        <v>8301</v>
      </c>
    </row>
    <row r="8330" spans="18:18" ht="13.8">
      <c r="R8330" s="10">
        <v>8302</v>
      </c>
    </row>
    <row r="8331" spans="18:18" ht="13.8">
      <c r="R8331" s="10">
        <v>8303</v>
      </c>
    </row>
    <row r="8332" spans="18:18" ht="13.8">
      <c r="R8332" s="10">
        <v>8304</v>
      </c>
    </row>
    <row r="8333" spans="18:18" ht="13.8">
      <c r="R8333" s="10">
        <v>8305</v>
      </c>
    </row>
    <row r="8334" spans="18:18" ht="13.8">
      <c r="R8334" s="10">
        <v>8306</v>
      </c>
    </row>
    <row r="8335" spans="18:18" ht="13.8">
      <c r="R8335" s="10">
        <v>8307</v>
      </c>
    </row>
    <row r="8336" spans="18:18" ht="13.8">
      <c r="R8336" s="10">
        <v>8308</v>
      </c>
    </row>
    <row r="8337" spans="18:18" ht="13.8">
      <c r="R8337" s="10">
        <v>8309</v>
      </c>
    </row>
    <row r="8338" spans="18:18" ht="13.8">
      <c r="R8338" s="10">
        <v>8310</v>
      </c>
    </row>
    <row r="8339" spans="18:18" ht="13.8">
      <c r="R8339" s="10">
        <v>8311</v>
      </c>
    </row>
    <row r="8340" spans="18:18" ht="13.8">
      <c r="R8340" s="10">
        <v>8312</v>
      </c>
    </row>
    <row r="8341" spans="18:18" ht="13.8">
      <c r="R8341" s="10">
        <v>8313</v>
      </c>
    </row>
    <row r="8342" spans="18:18" ht="13.8">
      <c r="R8342" s="10">
        <v>8314</v>
      </c>
    </row>
    <row r="8343" spans="18:18" ht="13.8">
      <c r="R8343" s="10">
        <v>8315</v>
      </c>
    </row>
    <row r="8344" spans="18:18" ht="13.8">
      <c r="R8344" s="10">
        <v>8316</v>
      </c>
    </row>
    <row r="8345" spans="18:18" ht="13.8">
      <c r="R8345" s="10">
        <v>8317</v>
      </c>
    </row>
    <row r="8346" spans="18:18" ht="13.8">
      <c r="R8346" s="10">
        <v>8318</v>
      </c>
    </row>
    <row r="8347" spans="18:18" ht="13.8">
      <c r="R8347" s="10">
        <v>8319</v>
      </c>
    </row>
    <row r="8348" spans="18:18" ht="13.8">
      <c r="R8348" s="10">
        <v>8320</v>
      </c>
    </row>
    <row r="8349" spans="18:18" ht="13.8">
      <c r="R8349" s="10">
        <v>8321</v>
      </c>
    </row>
    <row r="8350" spans="18:18" ht="13.8">
      <c r="R8350" s="10">
        <v>8322</v>
      </c>
    </row>
    <row r="8351" spans="18:18" ht="13.8">
      <c r="R8351" s="10">
        <v>8323</v>
      </c>
    </row>
    <row r="8352" spans="18:18" ht="13.8">
      <c r="R8352" s="10">
        <v>8324</v>
      </c>
    </row>
    <row r="8353" spans="18:18" ht="13.8">
      <c r="R8353" s="10">
        <v>8325</v>
      </c>
    </row>
    <row r="8354" spans="18:18" ht="13.8">
      <c r="R8354" s="10">
        <v>8326</v>
      </c>
    </row>
    <row r="8355" spans="18:18" ht="13.8">
      <c r="R8355" s="10">
        <v>8327</v>
      </c>
    </row>
    <row r="8356" spans="18:18" ht="13.8">
      <c r="R8356" s="10">
        <v>8328</v>
      </c>
    </row>
    <row r="8357" spans="18:18" ht="13.8">
      <c r="R8357" s="10">
        <v>8329</v>
      </c>
    </row>
    <row r="8358" spans="18:18" ht="13.8">
      <c r="R8358" s="10">
        <v>8330</v>
      </c>
    </row>
    <row r="8359" spans="18:18" ht="13.8">
      <c r="R8359" s="10">
        <v>8331</v>
      </c>
    </row>
    <row r="8360" spans="18:18" ht="13.8">
      <c r="R8360" s="10">
        <v>8332</v>
      </c>
    </row>
    <row r="8361" spans="18:18" ht="13.8">
      <c r="R8361" s="10">
        <v>8333</v>
      </c>
    </row>
    <row r="8362" spans="18:18" ht="13.8">
      <c r="R8362" s="10">
        <v>8334</v>
      </c>
    </row>
    <row r="8363" spans="18:18" ht="13.8">
      <c r="R8363" s="10">
        <v>8335</v>
      </c>
    </row>
    <row r="8364" spans="18:18" ht="13.8">
      <c r="R8364" s="10">
        <v>8336</v>
      </c>
    </row>
    <row r="8365" spans="18:18" ht="13.8">
      <c r="R8365" s="10">
        <v>8337</v>
      </c>
    </row>
    <row r="8366" spans="18:18" ht="13.8">
      <c r="R8366" s="10">
        <v>8338</v>
      </c>
    </row>
    <row r="8367" spans="18:18" ht="13.8">
      <c r="R8367" s="10">
        <v>8339</v>
      </c>
    </row>
    <row r="8368" spans="18:18" ht="13.8">
      <c r="R8368" s="10">
        <v>8340</v>
      </c>
    </row>
    <row r="8369" spans="18:18" ht="13.8">
      <c r="R8369" s="10">
        <v>8341</v>
      </c>
    </row>
    <row r="8370" spans="18:18" ht="13.8">
      <c r="R8370" s="10">
        <v>8342</v>
      </c>
    </row>
    <row r="8371" spans="18:18" ht="13.8">
      <c r="R8371" s="10">
        <v>8343</v>
      </c>
    </row>
    <row r="8372" spans="18:18" ht="13.8">
      <c r="R8372" s="10">
        <v>8344</v>
      </c>
    </row>
    <row r="8373" spans="18:18" ht="13.8">
      <c r="R8373" s="10">
        <v>8345</v>
      </c>
    </row>
    <row r="8374" spans="18:18" ht="13.8">
      <c r="R8374" s="10">
        <v>8346</v>
      </c>
    </row>
    <row r="8375" spans="18:18" ht="13.8">
      <c r="R8375" s="10">
        <v>8347</v>
      </c>
    </row>
    <row r="8376" spans="18:18" ht="13.8">
      <c r="R8376" s="10">
        <v>8348</v>
      </c>
    </row>
    <row r="8377" spans="18:18" ht="13.8">
      <c r="R8377" s="10">
        <v>8349</v>
      </c>
    </row>
    <row r="8378" spans="18:18" ht="13.8">
      <c r="R8378" s="10">
        <v>8350</v>
      </c>
    </row>
    <row r="8379" spans="18:18" ht="13.8">
      <c r="R8379" s="10">
        <v>8351</v>
      </c>
    </row>
    <row r="8380" spans="18:18" ht="13.8">
      <c r="R8380" s="10">
        <v>8352</v>
      </c>
    </row>
    <row r="8381" spans="18:18" ht="13.8">
      <c r="R8381" s="10">
        <v>8353</v>
      </c>
    </row>
    <row r="8382" spans="18:18" ht="13.8">
      <c r="R8382" s="10">
        <v>8354</v>
      </c>
    </row>
    <row r="8383" spans="18:18" ht="13.8">
      <c r="R8383" s="10">
        <v>8355</v>
      </c>
    </row>
    <row r="8384" spans="18:18" ht="13.8">
      <c r="R8384" s="10">
        <v>8356</v>
      </c>
    </row>
    <row r="8385" spans="18:18" ht="13.8">
      <c r="R8385" s="10">
        <v>8357</v>
      </c>
    </row>
    <row r="8386" spans="18:18" ht="13.8">
      <c r="R8386" s="10">
        <v>8358</v>
      </c>
    </row>
    <row r="8387" spans="18:18" ht="13.8">
      <c r="R8387" s="10">
        <v>8359</v>
      </c>
    </row>
    <row r="8388" spans="18:18" ht="13.8">
      <c r="R8388" s="10">
        <v>8360</v>
      </c>
    </row>
    <row r="8389" spans="18:18" ht="13.8">
      <c r="R8389" s="10">
        <v>8361</v>
      </c>
    </row>
    <row r="8390" spans="18:18" ht="13.8">
      <c r="R8390" s="10">
        <v>8362</v>
      </c>
    </row>
    <row r="8391" spans="18:18" ht="13.8">
      <c r="R8391" s="10">
        <v>8363</v>
      </c>
    </row>
    <row r="8392" spans="18:18" ht="13.8">
      <c r="R8392" s="10">
        <v>8364</v>
      </c>
    </row>
    <row r="8393" spans="18:18" ht="13.8">
      <c r="R8393" s="10">
        <v>8365</v>
      </c>
    </row>
    <row r="8394" spans="18:18" ht="13.8">
      <c r="R8394" s="10">
        <v>8366</v>
      </c>
    </row>
    <row r="8395" spans="18:18" ht="13.8">
      <c r="R8395" s="10">
        <v>8367</v>
      </c>
    </row>
    <row r="8396" spans="18:18" ht="13.8">
      <c r="R8396" s="10">
        <v>8368</v>
      </c>
    </row>
    <row r="8397" spans="18:18" ht="13.8">
      <c r="R8397" s="10">
        <v>8369</v>
      </c>
    </row>
    <row r="8398" spans="18:18" ht="13.8">
      <c r="R8398" s="10">
        <v>8370</v>
      </c>
    </row>
    <row r="8399" spans="18:18" ht="13.8">
      <c r="R8399" s="10">
        <v>8371</v>
      </c>
    </row>
    <row r="8400" spans="18:18" ht="13.8">
      <c r="R8400" s="10">
        <v>8372</v>
      </c>
    </row>
    <row r="8401" spans="18:18" ht="13.8">
      <c r="R8401" s="10">
        <v>8373</v>
      </c>
    </row>
    <row r="8402" spans="18:18" ht="13.8">
      <c r="R8402" s="10">
        <v>8374</v>
      </c>
    </row>
    <row r="8403" spans="18:18" ht="13.8">
      <c r="R8403" s="10">
        <v>8375</v>
      </c>
    </row>
    <row r="8404" spans="18:18" ht="13.8">
      <c r="R8404" s="10">
        <v>8376</v>
      </c>
    </row>
    <row r="8405" spans="18:18" ht="13.8">
      <c r="R8405" s="10">
        <v>8377</v>
      </c>
    </row>
    <row r="8406" spans="18:18" ht="13.8">
      <c r="R8406" s="10">
        <v>8378</v>
      </c>
    </row>
    <row r="8407" spans="18:18" ht="13.8">
      <c r="R8407" s="10">
        <v>8379</v>
      </c>
    </row>
    <row r="8408" spans="18:18" ht="13.8">
      <c r="R8408" s="10">
        <v>8380</v>
      </c>
    </row>
    <row r="8409" spans="18:18" ht="13.8">
      <c r="R8409" s="10">
        <v>8381</v>
      </c>
    </row>
    <row r="8410" spans="18:18" ht="13.8">
      <c r="R8410" s="10">
        <v>8382</v>
      </c>
    </row>
    <row r="8411" spans="18:18" ht="13.8">
      <c r="R8411" s="10">
        <v>8383</v>
      </c>
    </row>
    <row r="8412" spans="18:18" ht="13.8">
      <c r="R8412" s="10">
        <v>8384</v>
      </c>
    </row>
    <row r="8413" spans="18:18" ht="13.8">
      <c r="R8413" s="10">
        <v>8385</v>
      </c>
    </row>
    <row r="8414" spans="18:18" ht="13.8">
      <c r="R8414" s="10">
        <v>8386</v>
      </c>
    </row>
    <row r="8415" spans="18:18" ht="13.8">
      <c r="R8415" s="10">
        <v>8387</v>
      </c>
    </row>
    <row r="8416" spans="18:18" ht="13.8">
      <c r="R8416" s="10">
        <v>8388</v>
      </c>
    </row>
    <row r="8417" spans="18:18" ht="13.8">
      <c r="R8417" s="10">
        <v>8389</v>
      </c>
    </row>
    <row r="8418" spans="18:18" ht="13.8">
      <c r="R8418" s="10">
        <v>8390</v>
      </c>
    </row>
    <row r="8419" spans="18:18" ht="13.8">
      <c r="R8419" s="10">
        <v>8391</v>
      </c>
    </row>
    <row r="8420" spans="18:18" ht="13.8">
      <c r="R8420" s="10">
        <v>8392</v>
      </c>
    </row>
    <row r="8421" spans="18:18" ht="13.8">
      <c r="R8421" s="10">
        <v>8393</v>
      </c>
    </row>
    <row r="8422" spans="18:18" ht="13.8">
      <c r="R8422" s="10">
        <v>8394</v>
      </c>
    </row>
    <row r="8423" spans="18:18" ht="13.8">
      <c r="R8423" s="10">
        <v>8395</v>
      </c>
    </row>
    <row r="8424" spans="18:18" ht="13.8">
      <c r="R8424" s="10">
        <v>8396</v>
      </c>
    </row>
    <row r="8425" spans="18:18" ht="13.8">
      <c r="R8425" s="10">
        <v>8397</v>
      </c>
    </row>
    <row r="8426" spans="18:18" ht="13.8">
      <c r="R8426" s="10">
        <v>8398</v>
      </c>
    </row>
    <row r="8427" spans="18:18" ht="13.8">
      <c r="R8427" s="10">
        <v>8399</v>
      </c>
    </row>
    <row r="8428" spans="18:18" ht="13.8">
      <c r="R8428" s="10">
        <v>8400</v>
      </c>
    </row>
    <row r="8429" spans="18:18" ht="13.8">
      <c r="R8429" s="10">
        <v>8401</v>
      </c>
    </row>
    <row r="8430" spans="18:18" ht="13.8">
      <c r="R8430" s="10">
        <v>8402</v>
      </c>
    </row>
    <row r="8431" spans="18:18" ht="13.8">
      <c r="R8431" s="10">
        <v>8403</v>
      </c>
    </row>
    <row r="8432" spans="18:18" ht="13.8">
      <c r="R8432" s="10">
        <v>8404</v>
      </c>
    </row>
    <row r="8433" spans="18:18" ht="13.8">
      <c r="R8433" s="10">
        <v>8405</v>
      </c>
    </row>
    <row r="8434" spans="18:18" ht="13.8">
      <c r="R8434" s="10">
        <v>8406</v>
      </c>
    </row>
    <row r="8435" spans="18:18" ht="13.8">
      <c r="R8435" s="10">
        <v>8407</v>
      </c>
    </row>
    <row r="8436" spans="18:18" ht="13.8">
      <c r="R8436" s="10">
        <v>8408</v>
      </c>
    </row>
    <row r="8437" spans="18:18" ht="13.8">
      <c r="R8437" s="10">
        <v>8409</v>
      </c>
    </row>
    <row r="8438" spans="18:18" ht="13.8">
      <c r="R8438" s="10">
        <v>8410</v>
      </c>
    </row>
    <row r="8439" spans="18:18" ht="13.8">
      <c r="R8439" s="10">
        <v>8411</v>
      </c>
    </row>
    <row r="8440" spans="18:18" ht="13.8">
      <c r="R8440" s="10">
        <v>8412</v>
      </c>
    </row>
    <row r="8441" spans="18:18" ht="13.8">
      <c r="R8441" s="10">
        <v>8413</v>
      </c>
    </row>
    <row r="8442" spans="18:18" ht="13.8">
      <c r="R8442" s="10">
        <v>8414</v>
      </c>
    </row>
    <row r="8443" spans="18:18" ht="13.8">
      <c r="R8443" s="10">
        <v>8415</v>
      </c>
    </row>
    <row r="8444" spans="18:18" ht="13.8">
      <c r="R8444" s="10">
        <v>8416</v>
      </c>
    </row>
    <row r="8445" spans="18:18" ht="13.8">
      <c r="R8445" s="10">
        <v>8417</v>
      </c>
    </row>
    <row r="8446" spans="18:18" ht="13.8">
      <c r="R8446" s="10">
        <v>8418</v>
      </c>
    </row>
    <row r="8447" spans="18:18" ht="13.8">
      <c r="R8447" s="10">
        <v>8419</v>
      </c>
    </row>
    <row r="8448" spans="18:18" ht="13.8">
      <c r="R8448" s="10">
        <v>8420</v>
      </c>
    </row>
    <row r="8449" spans="18:18" ht="13.8">
      <c r="R8449" s="10">
        <v>8421</v>
      </c>
    </row>
    <row r="8450" spans="18:18" ht="13.8">
      <c r="R8450" s="10">
        <v>8422</v>
      </c>
    </row>
    <row r="8451" spans="18:18" ht="13.8">
      <c r="R8451" s="10">
        <v>8423</v>
      </c>
    </row>
    <row r="8452" spans="18:18" ht="13.8">
      <c r="R8452" s="10">
        <v>8424</v>
      </c>
    </row>
    <row r="8453" spans="18:18" ht="13.8">
      <c r="R8453" s="10">
        <v>8425</v>
      </c>
    </row>
    <row r="8454" spans="18:18" ht="13.8">
      <c r="R8454" s="10">
        <v>8426</v>
      </c>
    </row>
    <row r="8455" spans="18:18" ht="13.8">
      <c r="R8455" s="10">
        <v>8427</v>
      </c>
    </row>
    <row r="8456" spans="18:18" ht="13.8">
      <c r="R8456" s="10">
        <v>8428</v>
      </c>
    </row>
    <row r="8457" spans="18:18" ht="13.8">
      <c r="R8457" s="10">
        <v>8429</v>
      </c>
    </row>
    <row r="8458" spans="18:18" ht="13.8">
      <c r="R8458" s="10">
        <v>8430</v>
      </c>
    </row>
    <row r="8459" spans="18:18" ht="13.8">
      <c r="R8459" s="10">
        <v>8431</v>
      </c>
    </row>
    <row r="8460" spans="18:18" ht="13.8">
      <c r="R8460" s="10">
        <v>8432</v>
      </c>
    </row>
    <row r="8461" spans="18:18" ht="13.8">
      <c r="R8461" s="10">
        <v>8433</v>
      </c>
    </row>
    <row r="8462" spans="18:18" ht="13.8">
      <c r="R8462" s="10">
        <v>8434</v>
      </c>
    </row>
    <row r="8463" spans="18:18" ht="13.8">
      <c r="R8463" s="10">
        <v>8435</v>
      </c>
    </row>
    <row r="8464" spans="18:18" ht="13.8">
      <c r="R8464" s="10">
        <v>8436</v>
      </c>
    </row>
    <row r="8465" spans="18:18" ht="13.8">
      <c r="R8465" s="10">
        <v>8437</v>
      </c>
    </row>
    <row r="8466" spans="18:18" ht="13.8">
      <c r="R8466" s="10">
        <v>8438</v>
      </c>
    </row>
    <row r="8467" spans="18:18" ht="13.8">
      <c r="R8467" s="10">
        <v>8439</v>
      </c>
    </row>
    <row r="8468" spans="18:18" ht="13.8">
      <c r="R8468" s="10">
        <v>8440</v>
      </c>
    </row>
    <row r="8469" spans="18:18" ht="13.8">
      <c r="R8469" s="10">
        <v>8441</v>
      </c>
    </row>
    <row r="8470" spans="18:18" ht="13.8">
      <c r="R8470" s="10">
        <v>8442</v>
      </c>
    </row>
    <row r="8471" spans="18:18" ht="13.8">
      <c r="R8471" s="10">
        <v>8443</v>
      </c>
    </row>
    <row r="8472" spans="18:18" ht="13.8">
      <c r="R8472" s="10">
        <v>8444</v>
      </c>
    </row>
    <row r="8473" spans="18:18" ht="13.8">
      <c r="R8473" s="10">
        <v>8445</v>
      </c>
    </row>
    <row r="8474" spans="18:18" ht="13.8">
      <c r="R8474" s="10">
        <v>8446</v>
      </c>
    </row>
    <row r="8475" spans="18:18" ht="13.8">
      <c r="R8475" s="10">
        <v>8447</v>
      </c>
    </row>
    <row r="8476" spans="18:18" ht="13.8">
      <c r="R8476" s="10">
        <v>8448</v>
      </c>
    </row>
    <row r="8477" spans="18:18" ht="13.8">
      <c r="R8477" s="10">
        <v>8449</v>
      </c>
    </row>
    <row r="8478" spans="18:18" ht="13.8">
      <c r="R8478" s="10">
        <v>8450</v>
      </c>
    </row>
    <row r="8479" spans="18:18" ht="13.8">
      <c r="R8479" s="10">
        <v>8451</v>
      </c>
    </row>
    <row r="8480" spans="18:18" ht="13.8">
      <c r="R8480" s="10">
        <v>8452</v>
      </c>
    </row>
    <row r="8481" spans="18:18" ht="13.8">
      <c r="R8481" s="10">
        <v>8453</v>
      </c>
    </row>
    <row r="8482" spans="18:18" ht="13.8">
      <c r="R8482" s="10">
        <v>8454</v>
      </c>
    </row>
    <row r="8483" spans="18:18" ht="13.8">
      <c r="R8483" s="10">
        <v>8455</v>
      </c>
    </row>
    <row r="8484" spans="18:18" ht="13.8">
      <c r="R8484" s="10">
        <v>8456</v>
      </c>
    </row>
    <row r="8485" spans="18:18" ht="13.8">
      <c r="R8485" s="10">
        <v>8457</v>
      </c>
    </row>
    <row r="8486" spans="18:18" ht="13.8">
      <c r="R8486" s="10">
        <v>8458</v>
      </c>
    </row>
    <row r="8487" spans="18:18" ht="13.8">
      <c r="R8487" s="10">
        <v>8459</v>
      </c>
    </row>
    <row r="8488" spans="18:18" ht="13.8">
      <c r="R8488" s="10">
        <v>8460</v>
      </c>
    </row>
    <row r="8489" spans="18:18" ht="13.8">
      <c r="R8489" s="10">
        <v>8461</v>
      </c>
    </row>
    <row r="8490" spans="18:18" ht="13.8">
      <c r="R8490" s="10">
        <v>8462</v>
      </c>
    </row>
    <row r="8491" spans="18:18" ht="13.8">
      <c r="R8491" s="10">
        <v>8463</v>
      </c>
    </row>
    <row r="8492" spans="18:18" ht="13.8">
      <c r="R8492" s="10">
        <v>8464</v>
      </c>
    </row>
    <row r="8493" spans="18:18" ht="13.8">
      <c r="R8493" s="10">
        <v>8465</v>
      </c>
    </row>
    <row r="8494" spans="18:18" ht="13.8">
      <c r="R8494" s="10">
        <v>8466</v>
      </c>
    </row>
    <row r="8495" spans="18:18" ht="13.8">
      <c r="R8495" s="10">
        <v>8467</v>
      </c>
    </row>
    <row r="8496" spans="18:18" ht="13.8">
      <c r="R8496" s="10">
        <v>8468</v>
      </c>
    </row>
    <row r="8497" spans="18:18" ht="13.8">
      <c r="R8497" s="10">
        <v>8469</v>
      </c>
    </row>
    <row r="8498" spans="18:18" ht="13.8">
      <c r="R8498" s="10">
        <v>8470</v>
      </c>
    </row>
    <row r="8499" spans="18:18" ht="13.8">
      <c r="R8499" s="10">
        <v>8471</v>
      </c>
    </row>
    <row r="8500" spans="18:18" ht="13.8">
      <c r="R8500" s="10">
        <v>8472</v>
      </c>
    </row>
    <row r="8501" spans="18:18" ht="13.8">
      <c r="R8501" s="10">
        <v>8473</v>
      </c>
    </row>
    <row r="8502" spans="18:18" ht="13.8">
      <c r="R8502" s="10">
        <v>8474</v>
      </c>
    </row>
    <row r="8503" spans="18:18" ht="13.8">
      <c r="R8503" s="10">
        <v>8475</v>
      </c>
    </row>
    <row r="8504" spans="18:18" ht="13.8">
      <c r="R8504" s="10">
        <v>8476</v>
      </c>
    </row>
    <row r="8505" spans="18:18" ht="13.8">
      <c r="R8505" s="10">
        <v>8477</v>
      </c>
    </row>
    <row r="8506" spans="18:18" ht="13.8">
      <c r="R8506" s="10">
        <v>8478</v>
      </c>
    </row>
    <row r="8507" spans="18:18" ht="13.8">
      <c r="R8507" s="10">
        <v>8479</v>
      </c>
    </row>
    <row r="8508" spans="18:18" ht="13.8">
      <c r="R8508" s="10">
        <v>8480</v>
      </c>
    </row>
    <row r="8509" spans="18:18" ht="13.8">
      <c r="R8509" s="10">
        <v>8481</v>
      </c>
    </row>
    <row r="8510" spans="18:18" ht="13.8">
      <c r="R8510" s="10">
        <v>8482</v>
      </c>
    </row>
    <row r="8511" spans="18:18" ht="13.8">
      <c r="R8511" s="10">
        <v>8483</v>
      </c>
    </row>
    <row r="8512" spans="18:18" ht="13.8">
      <c r="R8512" s="10">
        <v>8484</v>
      </c>
    </row>
    <row r="8513" spans="18:18" ht="13.8">
      <c r="R8513" s="10">
        <v>8485</v>
      </c>
    </row>
    <row r="8514" spans="18:18" ht="13.8">
      <c r="R8514" s="10">
        <v>8486</v>
      </c>
    </row>
    <row r="8515" spans="18:18" ht="13.8">
      <c r="R8515" s="10">
        <v>8487</v>
      </c>
    </row>
    <row r="8516" spans="18:18" ht="13.8">
      <c r="R8516" s="10">
        <v>8488</v>
      </c>
    </row>
    <row r="8517" spans="18:18" ht="13.8">
      <c r="R8517" s="10">
        <v>8489</v>
      </c>
    </row>
    <row r="8518" spans="18:18" ht="13.8">
      <c r="R8518" s="10">
        <v>8490</v>
      </c>
    </row>
    <row r="8519" spans="18:18" ht="13.8">
      <c r="R8519" s="10">
        <v>8491</v>
      </c>
    </row>
    <row r="8520" spans="18:18" ht="13.8">
      <c r="R8520" s="10">
        <v>8492</v>
      </c>
    </row>
    <row r="8521" spans="18:18" ht="13.8">
      <c r="R8521" s="10">
        <v>8493</v>
      </c>
    </row>
    <row r="8522" spans="18:18" ht="13.8">
      <c r="R8522" s="10">
        <v>8494</v>
      </c>
    </row>
    <row r="8523" spans="18:18" ht="13.8">
      <c r="R8523" s="10">
        <v>8495</v>
      </c>
    </row>
    <row r="8524" spans="18:18" ht="13.8">
      <c r="R8524" s="10">
        <v>8496</v>
      </c>
    </row>
    <row r="8525" spans="18:18" ht="13.8">
      <c r="R8525" s="10">
        <v>8497</v>
      </c>
    </row>
    <row r="8526" spans="18:18" ht="13.8">
      <c r="R8526" s="10">
        <v>8498</v>
      </c>
    </row>
    <row r="8527" spans="18:18" ht="13.8">
      <c r="R8527" s="10">
        <v>8499</v>
      </c>
    </row>
    <row r="8528" spans="18:18" ht="13.8">
      <c r="R8528" s="10">
        <v>8500</v>
      </c>
    </row>
    <row r="8529" spans="18:18" ht="13.8">
      <c r="R8529" s="10">
        <v>8501</v>
      </c>
    </row>
    <row r="8530" spans="18:18" ht="13.8">
      <c r="R8530" s="10">
        <v>8502</v>
      </c>
    </row>
    <row r="8531" spans="18:18" ht="13.8">
      <c r="R8531" s="10">
        <v>8503</v>
      </c>
    </row>
    <row r="8532" spans="18:18" ht="13.8">
      <c r="R8532" s="10">
        <v>8504</v>
      </c>
    </row>
    <row r="8533" spans="18:18" ht="13.8">
      <c r="R8533" s="10">
        <v>8505</v>
      </c>
    </row>
    <row r="8534" spans="18:18" ht="13.8">
      <c r="R8534" s="10">
        <v>8506</v>
      </c>
    </row>
    <row r="8535" spans="18:18" ht="13.8">
      <c r="R8535" s="10">
        <v>8507</v>
      </c>
    </row>
    <row r="8536" spans="18:18" ht="13.8">
      <c r="R8536" s="10">
        <v>8508</v>
      </c>
    </row>
    <row r="8537" spans="18:18" ht="13.8">
      <c r="R8537" s="10">
        <v>8509</v>
      </c>
    </row>
    <row r="8538" spans="18:18" ht="13.8">
      <c r="R8538" s="10">
        <v>8510</v>
      </c>
    </row>
    <row r="8539" spans="18:18" ht="13.8">
      <c r="R8539" s="10">
        <v>8511</v>
      </c>
    </row>
    <row r="8540" spans="18:18" ht="13.8">
      <c r="R8540" s="10">
        <v>8512</v>
      </c>
    </row>
    <row r="8541" spans="18:18" ht="13.8">
      <c r="R8541" s="10">
        <v>8513</v>
      </c>
    </row>
    <row r="8542" spans="18:18" ht="13.8">
      <c r="R8542" s="10">
        <v>8514</v>
      </c>
    </row>
    <row r="8543" spans="18:18" ht="13.8">
      <c r="R8543" s="10">
        <v>8515</v>
      </c>
    </row>
    <row r="8544" spans="18:18" ht="13.8">
      <c r="R8544" s="10">
        <v>8516</v>
      </c>
    </row>
    <row r="8545" spans="18:18" ht="13.8">
      <c r="R8545" s="10">
        <v>8517</v>
      </c>
    </row>
    <row r="8546" spans="18:18" ht="13.8">
      <c r="R8546" s="10">
        <v>8518</v>
      </c>
    </row>
    <row r="8547" spans="18:18" ht="13.8">
      <c r="R8547" s="10">
        <v>8519</v>
      </c>
    </row>
    <row r="8548" spans="18:18" ht="13.8">
      <c r="R8548" s="10">
        <v>8520</v>
      </c>
    </row>
    <row r="8549" spans="18:18" ht="13.8">
      <c r="R8549" s="10">
        <v>8521</v>
      </c>
    </row>
    <row r="8550" spans="18:18" ht="13.8">
      <c r="R8550" s="10">
        <v>8522</v>
      </c>
    </row>
    <row r="8551" spans="18:18" ht="13.8">
      <c r="R8551" s="10">
        <v>8523</v>
      </c>
    </row>
    <row r="8552" spans="18:18" ht="13.8">
      <c r="R8552" s="10">
        <v>8524</v>
      </c>
    </row>
    <row r="8553" spans="18:18" ht="13.8">
      <c r="R8553" s="10">
        <v>8525</v>
      </c>
    </row>
    <row r="8554" spans="18:18" ht="13.8">
      <c r="R8554" s="10">
        <v>8526</v>
      </c>
    </row>
    <row r="8555" spans="18:18" ht="13.8">
      <c r="R8555" s="10">
        <v>8527</v>
      </c>
    </row>
    <row r="8556" spans="18:18" ht="13.8">
      <c r="R8556" s="10">
        <v>8528</v>
      </c>
    </row>
    <row r="8557" spans="18:18" ht="13.8">
      <c r="R8557" s="10">
        <v>8529</v>
      </c>
    </row>
    <row r="8558" spans="18:18" ht="13.8">
      <c r="R8558" s="10">
        <v>8530</v>
      </c>
    </row>
    <row r="8559" spans="18:18" ht="13.8">
      <c r="R8559" s="10">
        <v>8531</v>
      </c>
    </row>
    <row r="8560" spans="18:18" ht="13.8">
      <c r="R8560" s="10">
        <v>8532</v>
      </c>
    </row>
    <row r="8561" spans="18:18" ht="13.8">
      <c r="R8561" s="10">
        <v>8533</v>
      </c>
    </row>
    <row r="8562" spans="18:18" ht="13.8">
      <c r="R8562" s="10">
        <v>8534</v>
      </c>
    </row>
    <row r="8563" spans="18:18" ht="13.8">
      <c r="R8563" s="10">
        <v>8535</v>
      </c>
    </row>
    <row r="8564" spans="18:18" ht="13.8">
      <c r="R8564" s="10">
        <v>8536</v>
      </c>
    </row>
    <row r="8565" spans="18:18" ht="13.8">
      <c r="R8565" s="10">
        <v>8537</v>
      </c>
    </row>
    <row r="8566" spans="18:18" ht="13.8">
      <c r="R8566" s="10">
        <v>8538</v>
      </c>
    </row>
    <row r="8567" spans="18:18" ht="13.8">
      <c r="R8567" s="10">
        <v>8539</v>
      </c>
    </row>
    <row r="8568" spans="18:18" ht="13.8">
      <c r="R8568" s="10">
        <v>8540</v>
      </c>
    </row>
    <row r="8569" spans="18:18" ht="13.8">
      <c r="R8569" s="10">
        <v>8541</v>
      </c>
    </row>
    <row r="8570" spans="18:18" ht="13.8">
      <c r="R8570" s="10">
        <v>8542</v>
      </c>
    </row>
    <row r="8571" spans="18:18" ht="13.8">
      <c r="R8571" s="10">
        <v>8543</v>
      </c>
    </row>
    <row r="8572" spans="18:18" ht="13.8">
      <c r="R8572" s="10">
        <v>8544</v>
      </c>
    </row>
    <row r="8573" spans="18:18" ht="13.8">
      <c r="R8573" s="10">
        <v>8545</v>
      </c>
    </row>
    <row r="8574" spans="18:18" ht="13.8">
      <c r="R8574" s="10">
        <v>8546</v>
      </c>
    </row>
    <row r="8575" spans="18:18" ht="13.8">
      <c r="R8575" s="10">
        <v>8547</v>
      </c>
    </row>
    <row r="8576" spans="18:18" ht="13.8">
      <c r="R8576" s="10">
        <v>8548</v>
      </c>
    </row>
    <row r="8577" spans="18:18" ht="13.8">
      <c r="R8577" s="10">
        <v>8549</v>
      </c>
    </row>
    <row r="8578" spans="18:18" ht="13.8">
      <c r="R8578" s="10">
        <v>8550</v>
      </c>
    </row>
    <row r="8579" spans="18:18" ht="13.8">
      <c r="R8579" s="10">
        <v>8551</v>
      </c>
    </row>
    <row r="8580" spans="18:18" ht="13.8">
      <c r="R8580" s="10">
        <v>8552</v>
      </c>
    </row>
    <row r="8581" spans="18:18" ht="13.8">
      <c r="R8581" s="10">
        <v>8553</v>
      </c>
    </row>
    <row r="8582" spans="18:18" ht="13.8">
      <c r="R8582" s="10">
        <v>8554</v>
      </c>
    </row>
    <row r="8583" spans="18:18" ht="13.8">
      <c r="R8583" s="10">
        <v>8555</v>
      </c>
    </row>
    <row r="8584" spans="18:18" ht="13.8">
      <c r="R8584" s="10">
        <v>8556</v>
      </c>
    </row>
    <row r="8585" spans="18:18" ht="13.8">
      <c r="R8585" s="10">
        <v>8557</v>
      </c>
    </row>
    <row r="8586" spans="18:18" ht="13.8">
      <c r="R8586" s="10">
        <v>8558</v>
      </c>
    </row>
    <row r="8587" spans="18:18" ht="13.8">
      <c r="R8587" s="10">
        <v>8559</v>
      </c>
    </row>
    <row r="8588" spans="18:18" ht="13.8">
      <c r="R8588" s="10">
        <v>8560</v>
      </c>
    </row>
    <row r="8589" spans="18:18" ht="13.8">
      <c r="R8589" s="10">
        <v>8561</v>
      </c>
    </row>
    <row r="8590" spans="18:18" ht="13.8">
      <c r="R8590" s="10">
        <v>8562</v>
      </c>
    </row>
    <row r="8591" spans="18:18" ht="13.8">
      <c r="R8591" s="10">
        <v>8563</v>
      </c>
    </row>
    <row r="8592" spans="18:18" ht="13.8">
      <c r="R8592" s="10">
        <v>8564</v>
      </c>
    </row>
    <row r="8593" spans="18:18" ht="13.8">
      <c r="R8593" s="10">
        <v>8565</v>
      </c>
    </row>
    <row r="8594" spans="18:18" ht="13.8">
      <c r="R8594" s="10">
        <v>8566</v>
      </c>
    </row>
    <row r="8595" spans="18:18" ht="13.8">
      <c r="R8595" s="10">
        <v>8567</v>
      </c>
    </row>
    <row r="8596" spans="18:18" ht="13.8">
      <c r="R8596" s="10">
        <v>8568</v>
      </c>
    </row>
    <row r="8597" spans="18:18" ht="13.8">
      <c r="R8597" s="10">
        <v>8569</v>
      </c>
    </row>
    <row r="8598" spans="18:18" ht="13.8">
      <c r="R8598" s="10">
        <v>8570</v>
      </c>
    </row>
    <row r="8599" spans="18:18" ht="13.8">
      <c r="R8599" s="10">
        <v>8571</v>
      </c>
    </row>
    <row r="8600" spans="18:18" ht="13.8">
      <c r="R8600" s="10">
        <v>8572</v>
      </c>
    </row>
    <row r="8601" spans="18:18" ht="13.8">
      <c r="R8601" s="10">
        <v>8573</v>
      </c>
    </row>
    <row r="8602" spans="18:18" ht="13.8">
      <c r="R8602" s="10">
        <v>8574</v>
      </c>
    </row>
    <row r="8603" spans="18:18" ht="13.8">
      <c r="R8603" s="10">
        <v>8575</v>
      </c>
    </row>
    <row r="8604" spans="18:18" ht="13.8">
      <c r="R8604" s="10">
        <v>8576</v>
      </c>
    </row>
    <row r="8605" spans="18:18" ht="13.8">
      <c r="R8605" s="10">
        <v>8577</v>
      </c>
    </row>
    <row r="8606" spans="18:18" ht="13.8">
      <c r="R8606" s="10">
        <v>8578</v>
      </c>
    </row>
    <row r="8607" spans="18:18" ht="13.8">
      <c r="R8607" s="10">
        <v>8579</v>
      </c>
    </row>
    <row r="8608" spans="18:18" ht="13.8">
      <c r="R8608" s="10">
        <v>8580</v>
      </c>
    </row>
    <row r="8609" spans="18:18" ht="13.8">
      <c r="R8609" s="10">
        <v>8581</v>
      </c>
    </row>
    <row r="8610" spans="18:18" ht="13.8">
      <c r="R8610" s="10">
        <v>8582</v>
      </c>
    </row>
    <row r="8611" spans="18:18" ht="13.8">
      <c r="R8611" s="10">
        <v>8583</v>
      </c>
    </row>
    <row r="8612" spans="18:18" ht="13.8">
      <c r="R8612" s="10">
        <v>8584</v>
      </c>
    </row>
    <row r="8613" spans="18:18" ht="13.8">
      <c r="R8613" s="10">
        <v>8585</v>
      </c>
    </row>
    <row r="8614" spans="18:18" ht="13.8">
      <c r="R8614" s="10">
        <v>8586</v>
      </c>
    </row>
    <row r="8615" spans="18:18" ht="13.8">
      <c r="R8615" s="10">
        <v>8587</v>
      </c>
    </row>
    <row r="8616" spans="18:18" ht="13.8">
      <c r="R8616" s="10">
        <v>8588</v>
      </c>
    </row>
    <row r="8617" spans="18:18" ht="13.8">
      <c r="R8617" s="10">
        <v>8589</v>
      </c>
    </row>
    <row r="8618" spans="18:18" ht="13.8">
      <c r="R8618" s="10">
        <v>8590</v>
      </c>
    </row>
    <row r="8619" spans="18:18" ht="13.8">
      <c r="R8619" s="10">
        <v>8591</v>
      </c>
    </row>
    <row r="8620" spans="18:18" ht="13.8">
      <c r="R8620" s="10">
        <v>8592</v>
      </c>
    </row>
    <row r="8621" spans="18:18" ht="13.8">
      <c r="R8621" s="10">
        <v>8593</v>
      </c>
    </row>
    <row r="8622" spans="18:18" ht="13.8">
      <c r="R8622" s="10">
        <v>8594</v>
      </c>
    </row>
    <row r="8623" spans="18:18" ht="13.8">
      <c r="R8623" s="10">
        <v>8595</v>
      </c>
    </row>
    <row r="8624" spans="18:18" ht="13.8">
      <c r="R8624" s="10">
        <v>8596</v>
      </c>
    </row>
    <row r="8625" spans="18:18" ht="13.8">
      <c r="R8625" s="10">
        <v>8597</v>
      </c>
    </row>
    <row r="8626" spans="18:18" ht="13.8">
      <c r="R8626" s="10">
        <v>8598</v>
      </c>
    </row>
    <row r="8627" spans="18:18" ht="13.8">
      <c r="R8627" s="10">
        <v>8599</v>
      </c>
    </row>
    <row r="8628" spans="18:18" ht="13.8">
      <c r="R8628" s="10">
        <v>8600</v>
      </c>
    </row>
    <row r="8629" spans="18:18" ht="13.8">
      <c r="R8629" s="10">
        <v>8601</v>
      </c>
    </row>
    <row r="8630" spans="18:18" ht="13.8">
      <c r="R8630" s="10">
        <v>8602</v>
      </c>
    </row>
    <row r="8631" spans="18:18" ht="13.8">
      <c r="R8631" s="10">
        <v>8603</v>
      </c>
    </row>
    <row r="8632" spans="18:18" ht="13.8">
      <c r="R8632" s="10">
        <v>8604</v>
      </c>
    </row>
    <row r="8633" spans="18:18" ht="13.8">
      <c r="R8633" s="10">
        <v>8605</v>
      </c>
    </row>
    <row r="8634" spans="18:18" ht="13.8">
      <c r="R8634" s="10">
        <v>8606</v>
      </c>
    </row>
    <row r="8635" spans="18:18" ht="13.8">
      <c r="R8635" s="10">
        <v>8607</v>
      </c>
    </row>
    <row r="8636" spans="18:18" ht="13.8">
      <c r="R8636" s="10">
        <v>8608</v>
      </c>
    </row>
    <row r="8637" spans="18:18" ht="13.8">
      <c r="R8637" s="10">
        <v>8609</v>
      </c>
    </row>
    <row r="8638" spans="18:18" ht="13.8">
      <c r="R8638" s="10">
        <v>8610</v>
      </c>
    </row>
    <row r="8639" spans="18:18" ht="13.8">
      <c r="R8639" s="10">
        <v>8611</v>
      </c>
    </row>
    <row r="8640" spans="18:18" ht="13.8">
      <c r="R8640" s="10">
        <v>8612</v>
      </c>
    </row>
    <row r="8641" spans="18:18" ht="13.8">
      <c r="R8641" s="10">
        <v>8613</v>
      </c>
    </row>
    <row r="8642" spans="18:18" ht="13.8">
      <c r="R8642" s="10">
        <v>8614</v>
      </c>
    </row>
    <row r="8643" spans="18:18" ht="13.8">
      <c r="R8643" s="10">
        <v>8615</v>
      </c>
    </row>
    <row r="8644" spans="18:18" ht="13.8">
      <c r="R8644" s="10">
        <v>8616</v>
      </c>
    </row>
    <row r="8645" spans="18:18" ht="13.8">
      <c r="R8645" s="10">
        <v>8617</v>
      </c>
    </row>
    <row r="8646" spans="18:18" ht="13.8">
      <c r="R8646" s="10">
        <v>8618</v>
      </c>
    </row>
    <row r="8647" spans="18:18" ht="13.8">
      <c r="R8647" s="10">
        <v>8619</v>
      </c>
    </row>
    <row r="8648" spans="18:18" ht="13.8">
      <c r="R8648" s="10">
        <v>8620</v>
      </c>
    </row>
    <row r="8649" spans="18:18" ht="13.8">
      <c r="R8649" s="10">
        <v>8621</v>
      </c>
    </row>
    <row r="8650" spans="18:18" ht="13.8">
      <c r="R8650" s="10">
        <v>8622</v>
      </c>
    </row>
    <row r="8651" spans="18:18" ht="13.8">
      <c r="R8651" s="10">
        <v>8623</v>
      </c>
    </row>
    <row r="8652" spans="18:18" ht="13.8">
      <c r="R8652" s="10">
        <v>8624</v>
      </c>
    </row>
    <row r="8653" spans="18:18" ht="13.8">
      <c r="R8653" s="10">
        <v>8625</v>
      </c>
    </row>
    <row r="8654" spans="18:18" ht="13.8">
      <c r="R8654" s="10">
        <v>8626</v>
      </c>
    </row>
    <row r="8655" spans="18:18" ht="13.8">
      <c r="R8655" s="10">
        <v>8627</v>
      </c>
    </row>
    <row r="8656" spans="18:18" ht="13.8">
      <c r="R8656" s="10">
        <v>8628</v>
      </c>
    </row>
    <row r="8657" spans="18:18" ht="13.8">
      <c r="R8657" s="10">
        <v>8629</v>
      </c>
    </row>
    <row r="8658" spans="18:18" ht="13.8">
      <c r="R8658" s="10">
        <v>8630</v>
      </c>
    </row>
    <row r="8659" spans="18:18" ht="13.8">
      <c r="R8659" s="10">
        <v>8631</v>
      </c>
    </row>
    <row r="8660" spans="18:18" ht="13.8">
      <c r="R8660" s="10">
        <v>8632</v>
      </c>
    </row>
    <row r="8661" spans="18:18" ht="13.8">
      <c r="R8661" s="10">
        <v>8633</v>
      </c>
    </row>
    <row r="8662" spans="18:18" ht="13.8">
      <c r="R8662" s="10">
        <v>8634</v>
      </c>
    </row>
    <row r="8663" spans="18:18" ht="13.8">
      <c r="R8663" s="10">
        <v>8635</v>
      </c>
    </row>
    <row r="8664" spans="18:18" ht="13.8">
      <c r="R8664" s="10">
        <v>8636</v>
      </c>
    </row>
    <row r="8665" spans="18:18" ht="13.8">
      <c r="R8665" s="10">
        <v>8637</v>
      </c>
    </row>
    <row r="8666" spans="18:18" ht="13.8">
      <c r="R8666" s="10">
        <v>8638</v>
      </c>
    </row>
    <row r="8667" spans="18:18" ht="13.8">
      <c r="R8667" s="10">
        <v>8639</v>
      </c>
    </row>
    <row r="8668" spans="18:18" ht="13.8">
      <c r="R8668" s="10">
        <v>8640</v>
      </c>
    </row>
    <row r="8669" spans="18:18" ht="13.8">
      <c r="R8669" s="10">
        <v>8641</v>
      </c>
    </row>
    <row r="8670" spans="18:18" ht="13.8">
      <c r="R8670" s="10">
        <v>8642</v>
      </c>
    </row>
    <row r="8671" spans="18:18" ht="13.8">
      <c r="R8671" s="10">
        <v>8643</v>
      </c>
    </row>
    <row r="8672" spans="18:18" ht="13.8">
      <c r="R8672" s="10">
        <v>8644</v>
      </c>
    </row>
    <row r="8673" spans="18:18" ht="13.8">
      <c r="R8673" s="10">
        <v>8645</v>
      </c>
    </row>
    <row r="8674" spans="18:18" ht="13.8">
      <c r="R8674" s="10">
        <v>8646</v>
      </c>
    </row>
    <row r="8675" spans="18:18" ht="13.8">
      <c r="R8675" s="10">
        <v>8647</v>
      </c>
    </row>
    <row r="8676" spans="18:18" ht="13.8">
      <c r="R8676" s="10">
        <v>8648</v>
      </c>
    </row>
    <row r="8677" spans="18:18" ht="13.8">
      <c r="R8677" s="10">
        <v>8649</v>
      </c>
    </row>
    <row r="8678" spans="18:18" ht="13.8">
      <c r="R8678" s="10">
        <v>8650</v>
      </c>
    </row>
    <row r="8679" spans="18:18" ht="13.8">
      <c r="R8679" s="10">
        <v>8651</v>
      </c>
    </row>
    <row r="8680" spans="18:18" ht="13.8">
      <c r="R8680" s="10">
        <v>8652</v>
      </c>
    </row>
    <row r="8681" spans="18:18" ht="13.8">
      <c r="R8681" s="10">
        <v>8653</v>
      </c>
    </row>
    <row r="8682" spans="18:18" ht="13.8">
      <c r="R8682" s="10">
        <v>8654</v>
      </c>
    </row>
    <row r="8683" spans="18:18" ht="13.8">
      <c r="R8683" s="10">
        <v>8655</v>
      </c>
    </row>
    <row r="8684" spans="18:18" ht="13.8">
      <c r="R8684" s="10">
        <v>8656</v>
      </c>
    </row>
    <row r="8685" spans="18:18" ht="13.8">
      <c r="R8685" s="10">
        <v>8657</v>
      </c>
    </row>
    <row r="8686" spans="18:18" ht="13.8">
      <c r="R8686" s="10">
        <v>8658</v>
      </c>
    </row>
    <row r="8687" spans="18:18" ht="13.8">
      <c r="R8687" s="10">
        <v>8659</v>
      </c>
    </row>
    <row r="8688" spans="18:18" ht="13.8">
      <c r="R8688" s="10">
        <v>8660</v>
      </c>
    </row>
    <row r="8689" spans="18:18" ht="13.8">
      <c r="R8689" s="10">
        <v>8661</v>
      </c>
    </row>
    <row r="8690" spans="18:18" ht="13.8">
      <c r="R8690" s="10">
        <v>8662</v>
      </c>
    </row>
    <row r="8691" spans="18:18" ht="13.8">
      <c r="R8691" s="10">
        <v>8663</v>
      </c>
    </row>
    <row r="8692" spans="18:18" ht="13.8">
      <c r="R8692" s="10">
        <v>8664</v>
      </c>
    </row>
    <row r="8693" spans="18:18" ht="13.8">
      <c r="R8693" s="10">
        <v>8665</v>
      </c>
    </row>
    <row r="8694" spans="18:18" ht="13.8">
      <c r="R8694" s="10">
        <v>8666</v>
      </c>
    </row>
    <row r="8695" spans="18:18" ht="13.8">
      <c r="R8695" s="10">
        <v>8667</v>
      </c>
    </row>
    <row r="8696" spans="18:18" ht="13.8">
      <c r="R8696" s="10">
        <v>8668</v>
      </c>
    </row>
    <row r="8697" spans="18:18" ht="13.8">
      <c r="R8697" s="10">
        <v>8669</v>
      </c>
    </row>
    <row r="8698" spans="18:18" ht="13.8">
      <c r="R8698" s="10">
        <v>8670</v>
      </c>
    </row>
    <row r="8699" spans="18:18" ht="13.8">
      <c r="R8699" s="10">
        <v>8671</v>
      </c>
    </row>
    <row r="8700" spans="18:18" ht="13.8">
      <c r="R8700" s="10">
        <v>8672</v>
      </c>
    </row>
    <row r="8701" spans="18:18" ht="13.8">
      <c r="R8701" s="10">
        <v>8673</v>
      </c>
    </row>
    <row r="8702" spans="18:18" ht="13.8">
      <c r="R8702" s="10">
        <v>8674</v>
      </c>
    </row>
    <row r="8703" spans="18:18" ht="13.8">
      <c r="R8703" s="10">
        <v>8675</v>
      </c>
    </row>
    <row r="8704" spans="18:18" ht="13.8">
      <c r="R8704" s="10">
        <v>8676</v>
      </c>
    </row>
    <row r="8705" spans="18:18" ht="13.8">
      <c r="R8705" s="10">
        <v>8677</v>
      </c>
    </row>
    <row r="8706" spans="18:18" ht="13.8">
      <c r="R8706" s="10">
        <v>8678</v>
      </c>
    </row>
    <row r="8707" spans="18:18" ht="13.8">
      <c r="R8707" s="10">
        <v>8679</v>
      </c>
    </row>
    <row r="8708" spans="18:18" ht="13.8">
      <c r="R8708" s="10">
        <v>8680</v>
      </c>
    </row>
    <row r="8709" spans="18:18" ht="13.8">
      <c r="R8709" s="10">
        <v>8681</v>
      </c>
    </row>
    <row r="8710" spans="18:18" ht="13.8">
      <c r="R8710" s="10">
        <v>8682</v>
      </c>
    </row>
    <row r="8711" spans="18:18" ht="13.8">
      <c r="R8711" s="10">
        <v>8683</v>
      </c>
    </row>
    <row r="8712" spans="18:18" ht="13.8">
      <c r="R8712" s="10">
        <v>8684</v>
      </c>
    </row>
    <row r="8713" spans="18:18" ht="13.8">
      <c r="R8713" s="10">
        <v>8685</v>
      </c>
    </row>
    <row r="8714" spans="18:18" ht="13.8">
      <c r="R8714" s="10">
        <v>8686</v>
      </c>
    </row>
    <row r="8715" spans="18:18" ht="13.8">
      <c r="R8715" s="10">
        <v>8687</v>
      </c>
    </row>
    <row r="8716" spans="18:18" ht="13.8">
      <c r="R8716" s="10">
        <v>8688</v>
      </c>
    </row>
    <row r="8717" spans="18:18" ht="13.8">
      <c r="R8717" s="10">
        <v>8689</v>
      </c>
    </row>
    <row r="8718" spans="18:18" ht="13.8">
      <c r="R8718" s="10">
        <v>8690</v>
      </c>
    </row>
    <row r="8719" spans="18:18" ht="13.8">
      <c r="R8719" s="10">
        <v>8691</v>
      </c>
    </row>
    <row r="8720" spans="18:18" ht="13.8">
      <c r="R8720" s="10">
        <v>8692</v>
      </c>
    </row>
    <row r="8721" spans="18:18" ht="13.8">
      <c r="R8721" s="10">
        <v>8693</v>
      </c>
    </row>
    <row r="8722" spans="18:18" ht="13.8">
      <c r="R8722" s="10">
        <v>8694</v>
      </c>
    </row>
    <row r="8723" spans="18:18" ht="13.8">
      <c r="R8723" s="10">
        <v>8695</v>
      </c>
    </row>
    <row r="8724" spans="18:18" ht="13.8">
      <c r="R8724" s="10">
        <v>8696</v>
      </c>
    </row>
    <row r="8725" spans="18:18" ht="13.8">
      <c r="R8725" s="10">
        <v>8697</v>
      </c>
    </row>
    <row r="8726" spans="18:18" ht="13.8">
      <c r="R8726" s="10">
        <v>8698</v>
      </c>
    </row>
    <row r="8727" spans="18:18" ht="13.8">
      <c r="R8727" s="10">
        <v>8699</v>
      </c>
    </row>
    <row r="8728" spans="18:18" ht="13.8">
      <c r="R8728" s="10">
        <v>8700</v>
      </c>
    </row>
    <row r="8729" spans="18:18" ht="13.8">
      <c r="R8729" s="10">
        <v>8701</v>
      </c>
    </row>
    <row r="8730" spans="18:18" ht="13.8">
      <c r="R8730" s="10">
        <v>8702</v>
      </c>
    </row>
    <row r="8731" spans="18:18" ht="13.8">
      <c r="R8731" s="10">
        <v>8703</v>
      </c>
    </row>
    <row r="8732" spans="18:18" ht="13.8">
      <c r="R8732" s="10">
        <v>8704</v>
      </c>
    </row>
    <row r="8733" spans="18:18" ht="13.8">
      <c r="R8733" s="10">
        <v>8705</v>
      </c>
    </row>
    <row r="8734" spans="18:18" ht="13.8">
      <c r="R8734" s="10">
        <v>8706</v>
      </c>
    </row>
    <row r="8735" spans="18:18" ht="13.8">
      <c r="R8735" s="10">
        <v>8707</v>
      </c>
    </row>
    <row r="8736" spans="18:18" ht="13.8">
      <c r="R8736" s="10">
        <v>8708</v>
      </c>
    </row>
    <row r="8737" spans="18:18" ht="13.8">
      <c r="R8737" s="10">
        <v>8709</v>
      </c>
    </row>
    <row r="8738" spans="18:18" ht="13.8">
      <c r="R8738" s="10">
        <v>8710</v>
      </c>
    </row>
    <row r="8739" spans="18:18" ht="13.8">
      <c r="R8739" s="10">
        <v>8711</v>
      </c>
    </row>
    <row r="8740" spans="18:18" ht="13.8">
      <c r="R8740" s="10">
        <v>8712</v>
      </c>
    </row>
    <row r="8741" spans="18:18" ht="13.8">
      <c r="R8741" s="10">
        <v>8713</v>
      </c>
    </row>
    <row r="8742" spans="18:18" ht="13.8">
      <c r="R8742" s="10">
        <v>8714</v>
      </c>
    </row>
    <row r="8743" spans="18:18" ht="13.8">
      <c r="R8743" s="10">
        <v>8715</v>
      </c>
    </row>
    <row r="8744" spans="18:18" ht="13.8">
      <c r="R8744" s="10">
        <v>8716</v>
      </c>
    </row>
    <row r="8745" spans="18:18" ht="13.8">
      <c r="R8745" s="10">
        <v>8717</v>
      </c>
    </row>
    <row r="8746" spans="18:18" ht="13.8">
      <c r="R8746" s="10">
        <v>8718</v>
      </c>
    </row>
    <row r="8747" spans="18:18" ht="13.8">
      <c r="R8747" s="10">
        <v>8719</v>
      </c>
    </row>
    <row r="8748" spans="18:18" ht="13.8">
      <c r="R8748" s="10">
        <v>8720</v>
      </c>
    </row>
    <row r="8749" spans="18:18" ht="13.8">
      <c r="R8749" s="10">
        <v>8721</v>
      </c>
    </row>
    <row r="8750" spans="18:18" ht="13.8">
      <c r="R8750" s="10">
        <v>8722</v>
      </c>
    </row>
    <row r="8751" spans="18:18" ht="13.8">
      <c r="R8751" s="10">
        <v>8723</v>
      </c>
    </row>
    <row r="8752" spans="18:18" ht="13.8">
      <c r="R8752" s="10">
        <v>8724</v>
      </c>
    </row>
    <row r="8753" spans="18:18" ht="13.8">
      <c r="R8753" s="10">
        <v>8725</v>
      </c>
    </row>
    <row r="8754" spans="18:18" ht="13.8">
      <c r="R8754" s="10">
        <v>8726</v>
      </c>
    </row>
    <row r="8755" spans="18:18" ht="13.8">
      <c r="R8755" s="10">
        <v>8727</v>
      </c>
    </row>
    <row r="8756" spans="18:18" ht="13.8">
      <c r="R8756" s="10">
        <v>8728</v>
      </c>
    </row>
    <row r="8757" spans="18:18" ht="13.8">
      <c r="R8757" s="10">
        <v>8729</v>
      </c>
    </row>
    <row r="8758" spans="18:18" ht="13.8">
      <c r="R8758" s="10">
        <v>8730</v>
      </c>
    </row>
    <row r="8759" spans="18:18" ht="13.8">
      <c r="R8759" s="10">
        <v>8731</v>
      </c>
    </row>
    <row r="8760" spans="18:18" ht="13.8">
      <c r="R8760" s="10">
        <v>8732</v>
      </c>
    </row>
    <row r="8761" spans="18:18" ht="13.8">
      <c r="R8761" s="10">
        <v>8733</v>
      </c>
    </row>
    <row r="8762" spans="18:18" ht="13.8">
      <c r="R8762" s="10">
        <v>8734</v>
      </c>
    </row>
    <row r="8763" spans="18:18" ht="13.8">
      <c r="R8763" s="10">
        <v>8735</v>
      </c>
    </row>
    <row r="8764" spans="18:18" ht="13.8">
      <c r="R8764" s="10">
        <v>8736</v>
      </c>
    </row>
    <row r="8765" spans="18:18" ht="13.8">
      <c r="R8765" s="10">
        <v>8737</v>
      </c>
    </row>
    <row r="8766" spans="18:18" ht="13.8">
      <c r="R8766" s="10">
        <v>8738</v>
      </c>
    </row>
    <row r="8767" spans="18:18" ht="13.8">
      <c r="R8767" s="10">
        <v>8739</v>
      </c>
    </row>
    <row r="8768" spans="18:18" ht="13.8">
      <c r="R8768" s="10">
        <v>8740</v>
      </c>
    </row>
    <row r="8769" spans="18:18" ht="13.8">
      <c r="R8769" s="10">
        <v>8741</v>
      </c>
    </row>
    <row r="8770" spans="18:18" ht="13.8">
      <c r="R8770" s="10">
        <v>8742</v>
      </c>
    </row>
    <row r="8771" spans="18:18" ht="13.8">
      <c r="R8771" s="10">
        <v>8743</v>
      </c>
    </row>
    <row r="8772" spans="18:18" ht="13.8">
      <c r="R8772" s="10">
        <v>8744</v>
      </c>
    </row>
    <row r="8773" spans="18:18" ht="13.8">
      <c r="R8773" s="10">
        <v>8745</v>
      </c>
    </row>
    <row r="8774" spans="18:18" ht="13.8">
      <c r="R8774" s="10">
        <v>8746</v>
      </c>
    </row>
    <row r="8775" spans="18:18" ht="13.8">
      <c r="R8775" s="10">
        <v>8747</v>
      </c>
    </row>
    <row r="8776" spans="18:18" ht="13.8">
      <c r="R8776" s="10">
        <v>8748</v>
      </c>
    </row>
    <row r="8777" spans="18:18" ht="13.8">
      <c r="R8777" s="10">
        <v>8749</v>
      </c>
    </row>
    <row r="8778" spans="18:18" ht="13.8">
      <c r="R8778" s="10">
        <v>8750</v>
      </c>
    </row>
    <row r="8779" spans="18:18" ht="13.8">
      <c r="R8779" s="10">
        <v>8751</v>
      </c>
    </row>
    <row r="8780" spans="18:18" ht="13.8">
      <c r="R8780" s="10">
        <v>8752</v>
      </c>
    </row>
    <row r="8781" spans="18:18" ht="13.8">
      <c r="R8781" s="10">
        <v>8753</v>
      </c>
    </row>
    <row r="8782" spans="18:18" ht="13.8">
      <c r="R8782" s="10">
        <v>8754</v>
      </c>
    </row>
    <row r="8783" spans="18:18" ht="13.8">
      <c r="R8783" s="10">
        <v>8755</v>
      </c>
    </row>
    <row r="8784" spans="18:18" ht="13.8">
      <c r="R8784" s="10">
        <v>8756</v>
      </c>
    </row>
    <row r="8785" spans="18:18" ht="13.8">
      <c r="R8785" s="10">
        <v>8757</v>
      </c>
    </row>
    <row r="8786" spans="18:18" ht="13.8">
      <c r="R8786" s="10">
        <v>8758</v>
      </c>
    </row>
    <row r="8787" spans="18:18" ht="13.8">
      <c r="R8787" s="10">
        <v>8759</v>
      </c>
    </row>
    <row r="8788" spans="18:18" ht="13.8">
      <c r="R8788" s="10">
        <v>8760</v>
      </c>
    </row>
    <row r="8789" spans="18:18" ht="13.8">
      <c r="R8789" s="10">
        <v>8761</v>
      </c>
    </row>
    <row r="8790" spans="18:18" ht="13.8">
      <c r="R8790" s="10">
        <v>8762</v>
      </c>
    </row>
    <row r="8791" spans="18:18" ht="13.8">
      <c r="R8791" s="10">
        <v>8763</v>
      </c>
    </row>
    <row r="8792" spans="18:18" ht="13.8">
      <c r="R8792" s="10">
        <v>8764</v>
      </c>
    </row>
    <row r="8793" spans="18:18" ht="13.8">
      <c r="R8793" s="10">
        <v>8765</v>
      </c>
    </row>
    <row r="8794" spans="18:18" ht="13.8">
      <c r="R8794" s="10">
        <v>8766</v>
      </c>
    </row>
    <row r="8795" spans="18:18" ht="13.8">
      <c r="R8795" s="10">
        <v>8767</v>
      </c>
    </row>
    <row r="8796" spans="18:18" ht="13.8">
      <c r="R8796" s="10">
        <v>8768</v>
      </c>
    </row>
    <row r="8797" spans="18:18" ht="13.8">
      <c r="R8797" s="10">
        <v>8769</v>
      </c>
    </row>
    <row r="8798" spans="18:18" ht="13.8">
      <c r="R8798" s="10">
        <v>8770</v>
      </c>
    </row>
    <row r="8799" spans="18:18" ht="13.8">
      <c r="R8799" s="10">
        <v>8771</v>
      </c>
    </row>
    <row r="8800" spans="18:18" ht="13.8">
      <c r="R8800" s="10">
        <v>8772</v>
      </c>
    </row>
    <row r="8801" spans="18:18" ht="13.8">
      <c r="R8801" s="10">
        <v>8773</v>
      </c>
    </row>
    <row r="8802" spans="18:18" ht="13.8">
      <c r="R8802" s="10">
        <v>8774</v>
      </c>
    </row>
    <row r="8803" spans="18:18" ht="13.8">
      <c r="R8803" s="10">
        <v>8775</v>
      </c>
    </row>
    <row r="8804" spans="18:18" ht="13.8">
      <c r="R8804" s="10">
        <v>8776</v>
      </c>
    </row>
    <row r="8805" spans="18:18" ht="13.8">
      <c r="R8805" s="10">
        <v>8777</v>
      </c>
    </row>
    <row r="8806" spans="18:18" ht="13.8">
      <c r="R8806" s="10">
        <v>8778</v>
      </c>
    </row>
    <row r="8807" spans="18:18" ht="13.8">
      <c r="R8807" s="10">
        <v>8779</v>
      </c>
    </row>
    <row r="8808" spans="18:18" ht="13.8">
      <c r="R8808" s="10">
        <v>8780</v>
      </c>
    </row>
    <row r="8809" spans="18:18" ht="13.8">
      <c r="R8809" s="10">
        <v>8781</v>
      </c>
    </row>
    <row r="8810" spans="18:18" ht="13.8">
      <c r="R8810" s="10">
        <v>8782</v>
      </c>
    </row>
    <row r="8811" spans="18:18" ht="13.8">
      <c r="R8811" s="10">
        <v>8783</v>
      </c>
    </row>
    <row r="8812" spans="18:18" ht="13.8">
      <c r="R8812" s="10">
        <v>8784</v>
      </c>
    </row>
    <row r="8813" spans="18:18" ht="13.8">
      <c r="R8813" s="10">
        <v>8785</v>
      </c>
    </row>
    <row r="8814" spans="18:18" ht="13.8">
      <c r="R8814" s="10">
        <v>8786</v>
      </c>
    </row>
    <row r="8815" spans="18:18" ht="13.8">
      <c r="R8815" s="10">
        <v>8787</v>
      </c>
    </row>
    <row r="8816" spans="18:18" ht="13.8">
      <c r="R8816" s="10">
        <v>8788</v>
      </c>
    </row>
    <row r="8817" spans="18:18" ht="13.8">
      <c r="R8817" s="10">
        <v>8789</v>
      </c>
    </row>
    <row r="8818" spans="18:18" ht="13.8">
      <c r="R8818" s="10">
        <v>8790</v>
      </c>
    </row>
    <row r="8819" spans="18:18" ht="13.8">
      <c r="R8819" s="10">
        <v>8791</v>
      </c>
    </row>
    <row r="8820" spans="18:18" ht="13.8">
      <c r="R8820" s="10">
        <v>8792</v>
      </c>
    </row>
    <row r="8821" spans="18:18" ht="13.8">
      <c r="R8821" s="10">
        <v>8793</v>
      </c>
    </row>
    <row r="8822" spans="18:18" ht="13.8">
      <c r="R8822" s="10">
        <v>8794</v>
      </c>
    </row>
    <row r="8823" spans="18:18" ht="13.8">
      <c r="R8823" s="10">
        <v>8795</v>
      </c>
    </row>
    <row r="8824" spans="18:18" ht="13.8">
      <c r="R8824" s="10">
        <v>8796</v>
      </c>
    </row>
    <row r="8825" spans="18:18" ht="13.8">
      <c r="R8825" s="10">
        <v>8797</v>
      </c>
    </row>
    <row r="8826" spans="18:18" ht="13.8">
      <c r="R8826" s="10">
        <v>8798</v>
      </c>
    </row>
    <row r="8827" spans="18:18" ht="13.8">
      <c r="R8827" s="10">
        <v>8799</v>
      </c>
    </row>
    <row r="8828" spans="18:18" ht="13.8">
      <c r="R8828" s="10">
        <v>8800</v>
      </c>
    </row>
    <row r="8829" spans="18:18" ht="13.8">
      <c r="R8829" s="10">
        <v>8801</v>
      </c>
    </row>
    <row r="8830" spans="18:18" ht="13.8">
      <c r="R8830" s="10">
        <v>8802</v>
      </c>
    </row>
    <row r="8831" spans="18:18" ht="13.8">
      <c r="R8831" s="10">
        <v>8803</v>
      </c>
    </row>
    <row r="8832" spans="18:18" ht="13.8">
      <c r="R8832" s="10">
        <v>8804</v>
      </c>
    </row>
    <row r="8833" spans="18:18" ht="13.8">
      <c r="R8833" s="10">
        <v>8805</v>
      </c>
    </row>
    <row r="8834" spans="18:18" ht="13.8">
      <c r="R8834" s="10">
        <v>8806</v>
      </c>
    </row>
    <row r="8835" spans="18:18" ht="13.8">
      <c r="R8835" s="10">
        <v>8807</v>
      </c>
    </row>
    <row r="8836" spans="18:18" ht="13.8">
      <c r="R8836" s="10">
        <v>8808</v>
      </c>
    </row>
    <row r="8837" spans="18:18" ht="13.8">
      <c r="R8837" s="10">
        <v>8809</v>
      </c>
    </row>
    <row r="8838" spans="18:18" ht="13.8">
      <c r="R8838" s="10">
        <v>8810</v>
      </c>
    </row>
    <row r="8839" spans="18:18" ht="13.8">
      <c r="R8839" s="10">
        <v>8811</v>
      </c>
    </row>
    <row r="8840" spans="18:18" ht="13.8">
      <c r="R8840" s="10">
        <v>8812</v>
      </c>
    </row>
    <row r="8841" spans="18:18" ht="13.8">
      <c r="R8841" s="10">
        <v>8813</v>
      </c>
    </row>
    <row r="8842" spans="18:18" ht="13.8">
      <c r="R8842" s="10">
        <v>8814</v>
      </c>
    </row>
    <row r="8843" spans="18:18" ht="13.8">
      <c r="R8843" s="10">
        <v>8815</v>
      </c>
    </row>
    <row r="8844" spans="18:18" ht="13.8">
      <c r="R8844" s="10">
        <v>8816</v>
      </c>
    </row>
    <row r="8845" spans="18:18" ht="13.8">
      <c r="R8845" s="10">
        <v>8817</v>
      </c>
    </row>
    <row r="8846" spans="18:18" ht="13.8">
      <c r="R8846" s="10">
        <v>8818</v>
      </c>
    </row>
    <row r="8847" spans="18:18" ht="13.8">
      <c r="R8847" s="10">
        <v>8819</v>
      </c>
    </row>
    <row r="8848" spans="18:18" ht="13.8">
      <c r="R8848" s="10">
        <v>8820</v>
      </c>
    </row>
    <row r="8849" spans="18:18" ht="13.8">
      <c r="R8849" s="10">
        <v>8821</v>
      </c>
    </row>
    <row r="8850" spans="18:18" ht="13.8">
      <c r="R8850" s="10">
        <v>8822</v>
      </c>
    </row>
    <row r="8851" spans="18:18" ht="13.8">
      <c r="R8851" s="10">
        <v>8823</v>
      </c>
    </row>
    <row r="8852" spans="18:18" ht="13.8">
      <c r="R8852" s="10">
        <v>8824</v>
      </c>
    </row>
    <row r="8853" spans="18:18" ht="13.8">
      <c r="R8853" s="10">
        <v>8825</v>
      </c>
    </row>
    <row r="8854" spans="18:18" ht="13.8">
      <c r="R8854" s="10">
        <v>8826</v>
      </c>
    </row>
    <row r="8855" spans="18:18" ht="13.8">
      <c r="R8855" s="10">
        <v>8827</v>
      </c>
    </row>
    <row r="8856" spans="18:18" ht="13.8">
      <c r="R8856" s="10">
        <v>8828</v>
      </c>
    </row>
    <row r="8857" spans="18:18" ht="13.8">
      <c r="R8857" s="10">
        <v>8829</v>
      </c>
    </row>
    <row r="8858" spans="18:18" ht="13.8">
      <c r="R8858" s="10">
        <v>8830</v>
      </c>
    </row>
    <row r="8859" spans="18:18" ht="13.8">
      <c r="R8859" s="10">
        <v>8831</v>
      </c>
    </row>
    <row r="8860" spans="18:18" ht="13.8">
      <c r="R8860" s="10">
        <v>8832</v>
      </c>
    </row>
    <row r="8861" spans="18:18" ht="13.8">
      <c r="R8861" s="10">
        <v>8833</v>
      </c>
    </row>
    <row r="8862" spans="18:18" ht="13.8">
      <c r="R8862" s="10">
        <v>8834</v>
      </c>
    </row>
    <row r="8863" spans="18:18" ht="13.8">
      <c r="R8863" s="10">
        <v>8835</v>
      </c>
    </row>
    <row r="8864" spans="18:18" ht="13.8">
      <c r="R8864" s="10">
        <v>8836</v>
      </c>
    </row>
    <row r="8865" spans="18:18" ht="13.8">
      <c r="R8865" s="10">
        <v>8837</v>
      </c>
    </row>
    <row r="8866" spans="18:18" ht="13.8">
      <c r="R8866" s="10">
        <v>8838</v>
      </c>
    </row>
    <row r="8867" spans="18:18" ht="13.8">
      <c r="R8867" s="10">
        <v>8839</v>
      </c>
    </row>
    <row r="8868" spans="18:18" ht="13.8">
      <c r="R8868" s="10">
        <v>8840</v>
      </c>
    </row>
    <row r="8869" spans="18:18" ht="13.8">
      <c r="R8869" s="10">
        <v>8841</v>
      </c>
    </row>
    <row r="8870" spans="18:18" ht="13.8">
      <c r="R8870" s="10">
        <v>8842</v>
      </c>
    </row>
    <row r="8871" spans="18:18" ht="13.8">
      <c r="R8871" s="10">
        <v>8843</v>
      </c>
    </row>
    <row r="8872" spans="18:18" ht="13.8">
      <c r="R8872" s="10">
        <v>8844</v>
      </c>
    </row>
    <row r="8873" spans="18:18" ht="13.8">
      <c r="R8873" s="10">
        <v>8845</v>
      </c>
    </row>
    <row r="8874" spans="18:18" ht="13.8">
      <c r="R8874" s="10">
        <v>8846</v>
      </c>
    </row>
    <row r="8875" spans="18:18" ht="13.8">
      <c r="R8875" s="10">
        <v>8847</v>
      </c>
    </row>
    <row r="8876" spans="18:18" ht="13.8">
      <c r="R8876" s="10">
        <v>8848</v>
      </c>
    </row>
    <row r="8877" spans="18:18" ht="13.8">
      <c r="R8877" s="10">
        <v>8849</v>
      </c>
    </row>
    <row r="8878" spans="18:18" ht="13.8">
      <c r="R8878" s="10">
        <v>8850</v>
      </c>
    </row>
    <row r="8879" spans="18:18" ht="13.8">
      <c r="R8879" s="10">
        <v>8851</v>
      </c>
    </row>
    <row r="8880" spans="18:18" ht="13.8">
      <c r="R8880" s="10">
        <v>8852</v>
      </c>
    </row>
    <row r="8881" spans="18:18" ht="13.8">
      <c r="R8881" s="10">
        <v>8853</v>
      </c>
    </row>
    <row r="8882" spans="18:18" ht="13.8">
      <c r="R8882" s="10">
        <v>8854</v>
      </c>
    </row>
    <row r="8883" spans="18:18" ht="13.8">
      <c r="R8883" s="10">
        <v>8855</v>
      </c>
    </row>
    <row r="8884" spans="18:18" ht="13.8">
      <c r="R8884" s="10">
        <v>8856</v>
      </c>
    </row>
    <row r="8885" spans="18:18" ht="13.8">
      <c r="R8885" s="10">
        <v>8857</v>
      </c>
    </row>
    <row r="8886" spans="18:18" ht="13.8">
      <c r="R8886" s="10">
        <v>8858</v>
      </c>
    </row>
    <row r="8887" spans="18:18" ht="13.8">
      <c r="R8887" s="10">
        <v>8859</v>
      </c>
    </row>
    <row r="8888" spans="18:18" ht="13.8">
      <c r="R8888" s="10">
        <v>8860</v>
      </c>
    </row>
    <row r="8889" spans="18:18" ht="13.8">
      <c r="R8889" s="10">
        <v>8861</v>
      </c>
    </row>
    <row r="8890" spans="18:18" ht="13.8">
      <c r="R8890" s="10">
        <v>8862</v>
      </c>
    </row>
    <row r="8891" spans="18:18" ht="13.8">
      <c r="R8891" s="10">
        <v>8863</v>
      </c>
    </row>
    <row r="8892" spans="18:18" ht="13.8">
      <c r="R8892" s="10">
        <v>8864</v>
      </c>
    </row>
    <row r="8893" spans="18:18" ht="13.8">
      <c r="R8893" s="10">
        <v>8865</v>
      </c>
    </row>
    <row r="8894" spans="18:18" ht="13.8">
      <c r="R8894" s="10">
        <v>8866</v>
      </c>
    </row>
    <row r="8895" spans="18:18" ht="13.8">
      <c r="R8895" s="10">
        <v>8867</v>
      </c>
    </row>
    <row r="8896" spans="18:18" ht="13.8">
      <c r="R8896" s="10">
        <v>8868</v>
      </c>
    </row>
    <row r="8897" spans="18:18" ht="13.8">
      <c r="R8897" s="10">
        <v>8869</v>
      </c>
    </row>
    <row r="8898" spans="18:18" ht="13.8">
      <c r="R8898" s="10">
        <v>8870</v>
      </c>
    </row>
    <row r="8899" spans="18:18" ht="13.8">
      <c r="R8899" s="10">
        <v>8871</v>
      </c>
    </row>
    <row r="8900" spans="18:18" ht="13.8">
      <c r="R8900" s="10">
        <v>8872</v>
      </c>
    </row>
    <row r="8901" spans="18:18" ht="13.8">
      <c r="R8901" s="10">
        <v>8873</v>
      </c>
    </row>
    <row r="8902" spans="18:18" ht="13.8">
      <c r="R8902" s="10">
        <v>8874</v>
      </c>
    </row>
    <row r="8903" spans="18:18" ht="13.8">
      <c r="R8903" s="10">
        <v>8875</v>
      </c>
    </row>
    <row r="8904" spans="18:18" ht="13.8">
      <c r="R8904" s="10">
        <v>8876</v>
      </c>
    </row>
    <row r="8905" spans="18:18" ht="13.8">
      <c r="R8905" s="10">
        <v>8877</v>
      </c>
    </row>
    <row r="8906" spans="18:18" ht="13.8">
      <c r="R8906" s="10">
        <v>8878</v>
      </c>
    </row>
    <row r="8907" spans="18:18" ht="13.8">
      <c r="R8907" s="10">
        <v>8879</v>
      </c>
    </row>
    <row r="8908" spans="18:18" ht="13.8">
      <c r="R8908" s="10">
        <v>8880</v>
      </c>
    </row>
    <row r="8909" spans="18:18" ht="13.8">
      <c r="R8909" s="10">
        <v>8881</v>
      </c>
    </row>
    <row r="8910" spans="18:18" ht="13.8">
      <c r="R8910" s="10">
        <v>8882</v>
      </c>
    </row>
    <row r="8911" spans="18:18" ht="13.8">
      <c r="R8911" s="10">
        <v>8883</v>
      </c>
    </row>
    <row r="8912" spans="18:18" ht="13.8">
      <c r="R8912" s="10">
        <v>8884</v>
      </c>
    </row>
    <row r="8913" spans="18:18" ht="13.8">
      <c r="R8913" s="10">
        <v>8885</v>
      </c>
    </row>
    <row r="8914" spans="18:18" ht="13.8">
      <c r="R8914" s="10">
        <v>8886</v>
      </c>
    </row>
    <row r="8915" spans="18:18" ht="13.8">
      <c r="R8915" s="10">
        <v>8887</v>
      </c>
    </row>
    <row r="8916" spans="18:18" ht="13.8">
      <c r="R8916" s="10">
        <v>8888</v>
      </c>
    </row>
    <row r="8917" spans="18:18" ht="13.8">
      <c r="R8917" s="10">
        <v>8889</v>
      </c>
    </row>
    <row r="8918" spans="18:18" ht="13.8">
      <c r="R8918" s="10">
        <v>8890</v>
      </c>
    </row>
    <row r="8919" spans="18:18" ht="13.8">
      <c r="R8919" s="10">
        <v>8891</v>
      </c>
    </row>
    <row r="8920" spans="18:18" ht="13.8">
      <c r="R8920" s="10">
        <v>8892</v>
      </c>
    </row>
    <row r="8921" spans="18:18" ht="13.8">
      <c r="R8921" s="10">
        <v>8893</v>
      </c>
    </row>
    <row r="8922" spans="18:18" ht="13.8">
      <c r="R8922" s="10">
        <v>8894</v>
      </c>
    </row>
    <row r="8923" spans="18:18" ht="13.8">
      <c r="R8923" s="10">
        <v>8895</v>
      </c>
    </row>
    <row r="8924" spans="18:18" ht="13.8">
      <c r="R8924" s="10">
        <v>8896</v>
      </c>
    </row>
    <row r="8925" spans="18:18" ht="13.8">
      <c r="R8925" s="10">
        <v>8897</v>
      </c>
    </row>
    <row r="8926" spans="18:18" ht="13.8">
      <c r="R8926" s="10">
        <v>8898</v>
      </c>
    </row>
    <row r="8927" spans="18:18" ht="13.8">
      <c r="R8927" s="10">
        <v>8899</v>
      </c>
    </row>
    <row r="8928" spans="18:18" ht="13.8">
      <c r="R8928" s="10">
        <v>8900</v>
      </c>
    </row>
    <row r="8929" spans="18:18" ht="13.8">
      <c r="R8929" s="10">
        <v>8901</v>
      </c>
    </row>
    <row r="8930" spans="18:18" ht="13.8">
      <c r="R8930" s="10">
        <v>8902</v>
      </c>
    </row>
    <row r="8931" spans="18:18" ht="13.8">
      <c r="R8931" s="10">
        <v>8903</v>
      </c>
    </row>
    <row r="8932" spans="18:18" ht="13.8">
      <c r="R8932" s="10">
        <v>8904</v>
      </c>
    </row>
    <row r="8933" spans="18:18" ht="13.8">
      <c r="R8933" s="10">
        <v>8905</v>
      </c>
    </row>
    <row r="8934" spans="18:18" ht="13.8">
      <c r="R8934" s="10">
        <v>8906</v>
      </c>
    </row>
    <row r="8935" spans="18:18" ht="13.8">
      <c r="R8935" s="10">
        <v>8907</v>
      </c>
    </row>
    <row r="8936" spans="18:18" ht="13.8">
      <c r="R8936" s="10">
        <v>8908</v>
      </c>
    </row>
    <row r="8937" spans="18:18" ht="13.8">
      <c r="R8937" s="10">
        <v>8909</v>
      </c>
    </row>
    <row r="8938" spans="18:18" ht="13.8">
      <c r="R8938" s="10">
        <v>8910</v>
      </c>
    </row>
    <row r="8939" spans="18:18" ht="13.8">
      <c r="R8939" s="10">
        <v>8911</v>
      </c>
    </row>
    <row r="8940" spans="18:18" ht="13.8">
      <c r="R8940" s="10">
        <v>8912</v>
      </c>
    </row>
    <row r="8941" spans="18:18" ht="13.8">
      <c r="R8941" s="10">
        <v>8913</v>
      </c>
    </row>
    <row r="8942" spans="18:18" ht="13.8">
      <c r="R8942" s="10">
        <v>8914</v>
      </c>
    </row>
    <row r="8943" spans="18:18" ht="13.8">
      <c r="R8943" s="10">
        <v>8915</v>
      </c>
    </row>
    <row r="8944" spans="18:18" ht="13.8">
      <c r="R8944" s="10">
        <v>8916</v>
      </c>
    </row>
    <row r="8945" spans="18:18" ht="13.8">
      <c r="R8945" s="10">
        <v>8917</v>
      </c>
    </row>
    <row r="8946" spans="18:18" ht="13.8">
      <c r="R8946" s="10">
        <v>8918</v>
      </c>
    </row>
    <row r="8947" spans="18:18" ht="13.8">
      <c r="R8947" s="10">
        <v>8919</v>
      </c>
    </row>
    <row r="8948" spans="18:18" ht="13.8">
      <c r="R8948" s="10">
        <v>8920</v>
      </c>
    </row>
    <row r="8949" spans="18:18" ht="13.8">
      <c r="R8949" s="10">
        <v>8921</v>
      </c>
    </row>
    <row r="8950" spans="18:18" ht="13.8">
      <c r="R8950" s="10">
        <v>8922</v>
      </c>
    </row>
    <row r="8951" spans="18:18" ht="13.8">
      <c r="R8951" s="10">
        <v>8923</v>
      </c>
    </row>
    <row r="8952" spans="18:18" ht="13.8">
      <c r="R8952" s="10">
        <v>8924</v>
      </c>
    </row>
    <row r="8953" spans="18:18" ht="13.8">
      <c r="R8953" s="10">
        <v>8925</v>
      </c>
    </row>
    <row r="8954" spans="18:18" ht="13.8">
      <c r="R8954" s="10">
        <v>8926</v>
      </c>
    </row>
    <row r="8955" spans="18:18" ht="13.8">
      <c r="R8955" s="10">
        <v>8927</v>
      </c>
    </row>
    <row r="8956" spans="18:18" ht="13.8">
      <c r="R8956" s="10">
        <v>8928</v>
      </c>
    </row>
    <row r="8957" spans="18:18" ht="13.8">
      <c r="R8957" s="10">
        <v>8929</v>
      </c>
    </row>
    <row r="8958" spans="18:18" ht="13.8">
      <c r="R8958" s="10">
        <v>8930</v>
      </c>
    </row>
    <row r="8959" spans="18:18" ht="13.8">
      <c r="R8959" s="10">
        <v>8931</v>
      </c>
    </row>
    <row r="8960" spans="18:18" ht="13.8">
      <c r="R8960" s="10">
        <v>8932</v>
      </c>
    </row>
    <row r="8961" spans="18:18" ht="13.8">
      <c r="R8961" s="10">
        <v>8933</v>
      </c>
    </row>
    <row r="8962" spans="18:18" ht="13.8">
      <c r="R8962" s="10">
        <v>8934</v>
      </c>
    </row>
    <row r="8963" spans="18:18" ht="13.8">
      <c r="R8963" s="10">
        <v>8935</v>
      </c>
    </row>
    <row r="8964" spans="18:18" ht="13.8">
      <c r="R8964" s="10">
        <v>8936</v>
      </c>
    </row>
    <row r="8965" spans="18:18" ht="13.8">
      <c r="R8965" s="10">
        <v>8937</v>
      </c>
    </row>
    <row r="8966" spans="18:18" ht="13.8">
      <c r="R8966" s="10">
        <v>8938</v>
      </c>
    </row>
    <row r="8967" spans="18:18" ht="13.8">
      <c r="R8967" s="10">
        <v>8939</v>
      </c>
    </row>
    <row r="8968" spans="18:18" ht="13.8">
      <c r="R8968" s="10">
        <v>8940</v>
      </c>
    </row>
    <row r="8969" spans="18:18" ht="13.8">
      <c r="R8969" s="10">
        <v>8941</v>
      </c>
    </row>
    <row r="8970" spans="18:18" ht="13.8">
      <c r="R8970" s="10">
        <v>8942</v>
      </c>
    </row>
    <row r="8971" spans="18:18" ht="13.8">
      <c r="R8971" s="10">
        <v>8943</v>
      </c>
    </row>
    <row r="8972" spans="18:18" ht="13.8">
      <c r="R8972" s="10">
        <v>8944</v>
      </c>
    </row>
    <row r="8973" spans="18:18" ht="13.8">
      <c r="R8973" s="10">
        <v>8945</v>
      </c>
    </row>
    <row r="8974" spans="18:18" ht="13.8">
      <c r="R8974" s="10">
        <v>8946</v>
      </c>
    </row>
    <row r="8975" spans="18:18" ht="13.8">
      <c r="R8975" s="10">
        <v>8947</v>
      </c>
    </row>
    <row r="8976" spans="18:18" ht="13.8">
      <c r="R8976" s="10">
        <v>8948</v>
      </c>
    </row>
    <row r="8977" spans="18:18" ht="13.8">
      <c r="R8977" s="10">
        <v>8949</v>
      </c>
    </row>
    <row r="8978" spans="18:18" ht="13.8">
      <c r="R8978" s="10">
        <v>8950</v>
      </c>
    </row>
    <row r="8979" spans="18:18" ht="13.8">
      <c r="R8979" s="10">
        <v>8951</v>
      </c>
    </row>
    <row r="8980" spans="18:18" ht="13.8">
      <c r="R8980" s="10">
        <v>8952</v>
      </c>
    </row>
    <row r="8981" spans="18:18" ht="13.8">
      <c r="R8981" s="10">
        <v>8953</v>
      </c>
    </row>
    <row r="8982" spans="18:18" ht="13.8">
      <c r="R8982" s="10">
        <v>8954</v>
      </c>
    </row>
    <row r="8983" spans="18:18" ht="13.8">
      <c r="R8983" s="10">
        <v>8955</v>
      </c>
    </row>
    <row r="8984" spans="18:18" ht="13.8">
      <c r="R8984" s="10">
        <v>8956</v>
      </c>
    </row>
    <row r="8985" spans="18:18" ht="13.8">
      <c r="R8985" s="10">
        <v>8957</v>
      </c>
    </row>
    <row r="8986" spans="18:18" ht="13.8">
      <c r="R8986" s="10">
        <v>8958</v>
      </c>
    </row>
    <row r="8987" spans="18:18" ht="13.8">
      <c r="R8987" s="10">
        <v>8959</v>
      </c>
    </row>
    <row r="8988" spans="18:18" ht="13.8">
      <c r="R8988" s="10">
        <v>8960</v>
      </c>
    </row>
    <row r="8989" spans="18:18" ht="13.8">
      <c r="R8989" s="10">
        <v>8961</v>
      </c>
    </row>
    <row r="8990" spans="18:18" ht="13.8">
      <c r="R8990" s="10">
        <v>8962</v>
      </c>
    </row>
    <row r="8991" spans="18:18" ht="13.8">
      <c r="R8991" s="10">
        <v>8963</v>
      </c>
    </row>
    <row r="8992" spans="18:18" ht="13.8">
      <c r="R8992" s="10">
        <v>8964</v>
      </c>
    </row>
    <row r="8993" spans="18:18" ht="13.8">
      <c r="R8993" s="10">
        <v>8965</v>
      </c>
    </row>
    <row r="8994" spans="18:18" ht="13.8">
      <c r="R8994" s="10">
        <v>8966</v>
      </c>
    </row>
    <row r="8995" spans="18:18" ht="13.8">
      <c r="R8995" s="10">
        <v>8967</v>
      </c>
    </row>
    <row r="8996" spans="18:18" ht="13.8">
      <c r="R8996" s="10">
        <v>8968</v>
      </c>
    </row>
    <row r="8997" spans="18:18" ht="13.8">
      <c r="R8997" s="10">
        <v>8969</v>
      </c>
    </row>
    <row r="8998" spans="18:18" ht="13.8">
      <c r="R8998" s="10">
        <v>8970</v>
      </c>
    </row>
    <row r="8999" spans="18:18" ht="13.8">
      <c r="R8999" s="10">
        <v>8971</v>
      </c>
    </row>
    <row r="9000" spans="18:18" ht="13.8">
      <c r="R9000" s="10">
        <v>8972</v>
      </c>
    </row>
    <row r="9001" spans="18:18" ht="13.8">
      <c r="R9001" s="10">
        <v>8973</v>
      </c>
    </row>
    <row r="9002" spans="18:18" ht="13.8">
      <c r="R9002" s="10">
        <v>8974</v>
      </c>
    </row>
    <row r="9003" spans="18:18" ht="13.8">
      <c r="R9003" s="10">
        <v>8975</v>
      </c>
    </row>
    <row r="9004" spans="18:18" ht="13.8">
      <c r="R9004" s="10">
        <v>8976</v>
      </c>
    </row>
    <row r="9005" spans="18:18" ht="13.8">
      <c r="R9005" s="10">
        <v>8977</v>
      </c>
    </row>
    <row r="9006" spans="18:18" ht="13.8">
      <c r="R9006" s="10">
        <v>8978</v>
      </c>
    </row>
    <row r="9007" spans="18:18" ht="13.8">
      <c r="R9007" s="10">
        <v>8979</v>
      </c>
    </row>
    <row r="9008" spans="18:18" ht="13.8">
      <c r="R9008" s="10">
        <v>8980</v>
      </c>
    </row>
    <row r="9009" spans="18:18" ht="13.8">
      <c r="R9009" s="10">
        <v>8981</v>
      </c>
    </row>
    <row r="9010" spans="18:18" ht="13.8">
      <c r="R9010" s="10">
        <v>8982</v>
      </c>
    </row>
    <row r="9011" spans="18:18" ht="13.8">
      <c r="R9011" s="10">
        <v>8983</v>
      </c>
    </row>
    <row r="9012" spans="18:18" ht="13.8">
      <c r="R9012" s="10">
        <v>8984</v>
      </c>
    </row>
    <row r="9013" spans="18:18" ht="13.8">
      <c r="R9013" s="10">
        <v>8985</v>
      </c>
    </row>
    <row r="9014" spans="18:18" ht="13.8">
      <c r="R9014" s="10">
        <v>8986</v>
      </c>
    </row>
    <row r="9015" spans="18:18" ht="13.8">
      <c r="R9015" s="10">
        <v>8987</v>
      </c>
    </row>
    <row r="9016" spans="18:18" ht="13.8">
      <c r="R9016" s="10">
        <v>8988</v>
      </c>
    </row>
    <row r="9017" spans="18:18" ht="13.8">
      <c r="R9017" s="10">
        <v>8989</v>
      </c>
    </row>
    <row r="9018" spans="18:18" ht="13.8">
      <c r="R9018" s="10">
        <v>8990</v>
      </c>
    </row>
    <row r="9019" spans="18:18" ht="13.8">
      <c r="R9019" s="10">
        <v>8991</v>
      </c>
    </row>
    <row r="9020" spans="18:18" ht="13.8">
      <c r="R9020" s="10">
        <v>8992</v>
      </c>
    </row>
    <row r="9021" spans="18:18" ht="13.8">
      <c r="R9021" s="10">
        <v>8993</v>
      </c>
    </row>
    <row r="9022" spans="18:18" ht="13.8">
      <c r="R9022" s="10">
        <v>8994</v>
      </c>
    </row>
    <row r="9023" spans="18:18" ht="13.8">
      <c r="R9023" s="10">
        <v>8995</v>
      </c>
    </row>
    <row r="9024" spans="18:18" ht="13.8">
      <c r="R9024" s="10">
        <v>8996</v>
      </c>
    </row>
    <row r="9025" spans="18:18" ht="13.8">
      <c r="R9025" s="10">
        <v>8997</v>
      </c>
    </row>
    <row r="9026" spans="18:18" ht="13.8">
      <c r="R9026" s="10">
        <v>8998</v>
      </c>
    </row>
    <row r="9027" spans="18:18" ht="13.8">
      <c r="R9027" s="10">
        <v>8999</v>
      </c>
    </row>
    <row r="9028" spans="18:18" ht="13.8">
      <c r="R9028" s="10">
        <v>9000</v>
      </c>
    </row>
    <row r="9029" spans="18:18" ht="13.8">
      <c r="R9029" s="10">
        <v>9001</v>
      </c>
    </row>
    <row r="9030" spans="18:18" ht="13.8">
      <c r="R9030" s="10">
        <v>9002</v>
      </c>
    </row>
    <row r="9031" spans="18:18" ht="13.8">
      <c r="R9031" s="10">
        <v>9003</v>
      </c>
    </row>
    <row r="9032" spans="18:18" ht="13.8">
      <c r="R9032" s="10">
        <v>9004</v>
      </c>
    </row>
    <row r="9033" spans="18:18" ht="13.8">
      <c r="R9033" s="10">
        <v>9005</v>
      </c>
    </row>
    <row r="9034" spans="18:18" ht="13.8">
      <c r="R9034" s="10">
        <v>9006</v>
      </c>
    </row>
    <row r="9035" spans="18:18" ht="13.8">
      <c r="R9035" s="10">
        <v>9007</v>
      </c>
    </row>
    <row r="9036" spans="18:18" ht="13.8">
      <c r="R9036" s="10">
        <v>9008</v>
      </c>
    </row>
    <row r="9037" spans="18:18" ht="13.8">
      <c r="R9037" s="10">
        <v>9009</v>
      </c>
    </row>
    <row r="9038" spans="18:18" ht="13.8">
      <c r="R9038" s="10">
        <v>9010</v>
      </c>
    </row>
    <row r="9039" spans="18:18" ht="13.8">
      <c r="R9039" s="10">
        <v>9011</v>
      </c>
    </row>
    <row r="9040" spans="18:18" ht="13.8">
      <c r="R9040" s="10">
        <v>9012</v>
      </c>
    </row>
    <row r="9041" spans="18:18" ht="13.8">
      <c r="R9041" s="10">
        <v>9013</v>
      </c>
    </row>
    <row r="9042" spans="18:18" ht="13.8">
      <c r="R9042" s="10">
        <v>9014</v>
      </c>
    </row>
    <row r="9043" spans="18:18" ht="13.8">
      <c r="R9043" s="10">
        <v>9015</v>
      </c>
    </row>
    <row r="9044" spans="18:18" ht="13.8">
      <c r="R9044" s="10">
        <v>9016</v>
      </c>
    </row>
    <row r="9045" spans="18:18" ht="13.8">
      <c r="R9045" s="10">
        <v>9017</v>
      </c>
    </row>
    <row r="9046" spans="18:18" ht="13.8">
      <c r="R9046" s="10">
        <v>9018</v>
      </c>
    </row>
    <row r="9047" spans="18:18" ht="13.8">
      <c r="R9047" s="10">
        <v>9019</v>
      </c>
    </row>
    <row r="9048" spans="18:18" ht="13.8">
      <c r="R9048" s="10">
        <v>9020</v>
      </c>
    </row>
    <row r="9049" spans="18:18" ht="13.8">
      <c r="R9049" s="10">
        <v>9021</v>
      </c>
    </row>
    <row r="9050" spans="18:18" ht="13.8">
      <c r="R9050" s="10">
        <v>9022</v>
      </c>
    </row>
    <row r="9051" spans="18:18" ht="13.8">
      <c r="R9051" s="10">
        <v>9023</v>
      </c>
    </row>
    <row r="9052" spans="18:18" ht="13.8">
      <c r="R9052" s="10">
        <v>9024</v>
      </c>
    </row>
    <row r="9053" spans="18:18" ht="13.8">
      <c r="R9053" s="10">
        <v>9025</v>
      </c>
    </row>
    <row r="9054" spans="18:18" ht="13.8">
      <c r="R9054" s="10">
        <v>9026</v>
      </c>
    </row>
    <row r="9055" spans="18:18" ht="13.8">
      <c r="R9055" s="10">
        <v>9027</v>
      </c>
    </row>
    <row r="9056" spans="18:18" ht="13.8">
      <c r="R9056" s="10">
        <v>9028</v>
      </c>
    </row>
    <row r="9057" spans="18:18" ht="13.8">
      <c r="R9057" s="10">
        <v>9029</v>
      </c>
    </row>
    <row r="9058" spans="18:18" ht="13.8">
      <c r="R9058" s="10">
        <v>9030</v>
      </c>
    </row>
    <row r="9059" spans="18:18" ht="13.8">
      <c r="R9059" s="10">
        <v>9031</v>
      </c>
    </row>
    <row r="9060" spans="18:18" ht="13.8">
      <c r="R9060" s="10">
        <v>9032</v>
      </c>
    </row>
    <row r="9061" spans="18:18" ht="13.8">
      <c r="R9061" s="10">
        <v>9033</v>
      </c>
    </row>
    <row r="9062" spans="18:18" ht="13.8">
      <c r="R9062" s="10">
        <v>9034</v>
      </c>
    </row>
    <row r="9063" spans="18:18" ht="13.8">
      <c r="R9063" s="10">
        <v>9035</v>
      </c>
    </row>
    <row r="9064" spans="18:18" ht="13.8">
      <c r="R9064" s="10">
        <v>9036</v>
      </c>
    </row>
    <row r="9065" spans="18:18" ht="13.8">
      <c r="R9065" s="10">
        <v>9037</v>
      </c>
    </row>
    <row r="9066" spans="18:18" ht="13.8">
      <c r="R9066" s="10">
        <v>9038</v>
      </c>
    </row>
    <row r="9067" spans="18:18" ht="13.8">
      <c r="R9067" s="10">
        <v>9039</v>
      </c>
    </row>
    <row r="9068" spans="18:18" ht="13.8">
      <c r="R9068" s="10">
        <v>9040</v>
      </c>
    </row>
    <row r="9069" spans="18:18" ht="13.8">
      <c r="R9069" s="10">
        <v>9041</v>
      </c>
    </row>
    <row r="9070" spans="18:18" ht="13.8">
      <c r="R9070" s="10">
        <v>9042</v>
      </c>
    </row>
    <row r="9071" spans="18:18" ht="13.8">
      <c r="R9071" s="10">
        <v>9043</v>
      </c>
    </row>
    <row r="9072" spans="18:18" ht="13.8">
      <c r="R9072" s="10">
        <v>9044</v>
      </c>
    </row>
    <row r="9073" spans="18:18" ht="13.8">
      <c r="R9073" s="10">
        <v>9045</v>
      </c>
    </row>
    <row r="9074" spans="18:18" ht="13.8">
      <c r="R9074" s="10">
        <v>9046</v>
      </c>
    </row>
    <row r="9075" spans="18:18" ht="13.8">
      <c r="R9075" s="10">
        <v>9047</v>
      </c>
    </row>
    <row r="9076" spans="18:18" ht="13.8">
      <c r="R9076" s="10">
        <v>9048</v>
      </c>
    </row>
    <row r="9077" spans="18:18" ht="13.8">
      <c r="R9077" s="10">
        <v>9049</v>
      </c>
    </row>
    <row r="9078" spans="18:18" ht="13.8">
      <c r="R9078" s="10">
        <v>9050</v>
      </c>
    </row>
    <row r="9079" spans="18:18" ht="13.8">
      <c r="R9079" s="10">
        <v>9051</v>
      </c>
    </row>
    <row r="9080" spans="18:18" ht="13.8">
      <c r="R9080" s="10">
        <v>9052</v>
      </c>
    </row>
    <row r="9081" spans="18:18" ht="13.8">
      <c r="R9081" s="10">
        <v>9053</v>
      </c>
    </row>
    <row r="9082" spans="18:18" ht="13.8">
      <c r="R9082" s="10">
        <v>9054</v>
      </c>
    </row>
    <row r="9083" spans="18:18" ht="13.8">
      <c r="R9083" s="10">
        <v>9055</v>
      </c>
    </row>
    <row r="9084" spans="18:18" ht="13.8">
      <c r="R9084" s="10">
        <v>9056</v>
      </c>
    </row>
    <row r="9085" spans="18:18" ht="13.8">
      <c r="R9085" s="10">
        <v>9057</v>
      </c>
    </row>
    <row r="9086" spans="18:18" ht="13.8">
      <c r="R9086" s="10">
        <v>9058</v>
      </c>
    </row>
    <row r="9087" spans="18:18" ht="13.8">
      <c r="R9087" s="10">
        <v>9059</v>
      </c>
    </row>
    <row r="9088" spans="18:18" ht="13.8">
      <c r="R9088" s="10">
        <v>9060</v>
      </c>
    </row>
    <row r="9089" spans="18:18" ht="13.8">
      <c r="R9089" s="10">
        <v>9061</v>
      </c>
    </row>
    <row r="9090" spans="18:18" ht="13.8">
      <c r="R9090" s="10">
        <v>9062</v>
      </c>
    </row>
    <row r="9091" spans="18:18" ht="13.8">
      <c r="R9091" s="10">
        <v>9063</v>
      </c>
    </row>
    <row r="9092" spans="18:18" ht="13.8">
      <c r="R9092" s="10">
        <v>9064</v>
      </c>
    </row>
    <row r="9093" spans="18:18" ht="13.8">
      <c r="R9093" s="10">
        <v>9065</v>
      </c>
    </row>
    <row r="9094" spans="18:18" ht="13.8">
      <c r="R9094" s="10">
        <v>9066</v>
      </c>
    </row>
    <row r="9095" spans="18:18" ht="13.8">
      <c r="R9095" s="10">
        <v>9067</v>
      </c>
    </row>
    <row r="9096" spans="18:18" ht="13.8">
      <c r="R9096" s="10">
        <v>9068</v>
      </c>
    </row>
    <row r="9097" spans="18:18" ht="13.8">
      <c r="R9097" s="10">
        <v>9069</v>
      </c>
    </row>
    <row r="9098" spans="18:18" ht="13.8">
      <c r="R9098" s="10">
        <v>9070</v>
      </c>
    </row>
    <row r="9099" spans="18:18" ht="13.8">
      <c r="R9099" s="10">
        <v>9071</v>
      </c>
    </row>
    <row r="9100" spans="18:18" ht="13.8">
      <c r="R9100" s="10">
        <v>9072</v>
      </c>
    </row>
    <row r="9101" spans="18:18" ht="13.8">
      <c r="R9101" s="10">
        <v>9073</v>
      </c>
    </row>
    <row r="9102" spans="18:18" ht="13.8">
      <c r="R9102" s="10">
        <v>9074</v>
      </c>
    </row>
    <row r="9103" spans="18:18" ht="13.8">
      <c r="R9103" s="10">
        <v>9075</v>
      </c>
    </row>
    <row r="9104" spans="18:18" ht="13.8">
      <c r="R9104" s="10">
        <v>9076</v>
      </c>
    </row>
    <row r="9105" spans="18:18" ht="13.8">
      <c r="R9105" s="10">
        <v>9077</v>
      </c>
    </row>
    <row r="9106" spans="18:18" ht="13.8">
      <c r="R9106" s="10">
        <v>9078</v>
      </c>
    </row>
    <row r="9107" spans="18:18" ht="13.8">
      <c r="R9107" s="10">
        <v>9079</v>
      </c>
    </row>
    <row r="9108" spans="18:18" ht="13.8">
      <c r="R9108" s="10">
        <v>9080</v>
      </c>
    </row>
    <row r="9109" spans="18:18" ht="13.8">
      <c r="R9109" s="10">
        <v>9081</v>
      </c>
    </row>
    <row r="9110" spans="18:18" ht="13.8">
      <c r="R9110" s="10">
        <v>9082</v>
      </c>
    </row>
    <row r="9111" spans="18:18" ht="13.8">
      <c r="R9111" s="10">
        <v>9083</v>
      </c>
    </row>
    <row r="9112" spans="18:18" ht="13.8">
      <c r="R9112" s="10">
        <v>9084</v>
      </c>
    </row>
    <row r="9113" spans="18:18" ht="13.8">
      <c r="R9113" s="10">
        <v>9085</v>
      </c>
    </row>
    <row r="9114" spans="18:18" ht="13.8">
      <c r="R9114" s="10">
        <v>9086</v>
      </c>
    </row>
    <row r="9115" spans="18:18" ht="13.8">
      <c r="R9115" s="10">
        <v>9087</v>
      </c>
    </row>
    <row r="9116" spans="18:18" ht="13.8">
      <c r="R9116" s="10">
        <v>9088</v>
      </c>
    </row>
    <row r="9117" spans="18:18" ht="13.8">
      <c r="R9117" s="10">
        <v>9089</v>
      </c>
    </row>
    <row r="9118" spans="18:18" ht="13.8">
      <c r="R9118" s="10">
        <v>9090</v>
      </c>
    </row>
    <row r="9119" spans="18:18" ht="13.8">
      <c r="R9119" s="10">
        <v>9091</v>
      </c>
    </row>
    <row r="9120" spans="18:18" ht="13.8">
      <c r="R9120" s="10">
        <v>9092</v>
      </c>
    </row>
    <row r="9121" spans="18:18" ht="13.8">
      <c r="R9121" s="10">
        <v>9093</v>
      </c>
    </row>
    <row r="9122" spans="18:18" ht="13.8">
      <c r="R9122" s="10">
        <v>9094</v>
      </c>
    </row>
    <row r="9123" spans="18:18" ht="13.8">
      <c r="R9123" s="10">
        <v>9095</v>
      </c>
    </row>
    <row r="9124" spans="18:18" ht="13.8">
      <c r="R9124" s="10">
        <v>9096</v>
      </c>
    </row>
    <row r="9125" spans="18:18" ht="13.8">
      <c r="R9125" s="10">
        <v>9097</v>
      </c>
    </row>
    <row r="9126" spans="18:18" ht="13.8">
      <c r="R9126" s="10">
        <v>9098</v>
      </c>
    </row>
    <row r="9127" spans="18:18" ht="13.8">
      <c r="R9127" s="10">
        <v>9099</v>
      </c>
    </row>
    <row r="9128" spans="18:18" ht="13.8">
      <c r="R9128" s="10">
        <v>9100</v>
      </c>
    </row>
    <row r="9129" spans="18:18" ht="13.8">
      <c r="R9129" s="10">
        <v>9101</v>
      </c>
    </row>
    <row r="9130" spans="18:18" ht="13.8">
      <c r="R9130" s="10">
        <v>9102</v>
      </c>
    </row>
    <row r="9131" spans="18:18" ht="13.8">
      <c r="R9131" s="10">
        <v>9103</v>
      </c>
    </row>
    <row r="9132" spans="18:18" ht="13.8">
      <c r="R9132" s="10">
        <v>9104</v>
      </c>
    </row>
    <row r="9133" spans="18:18" ht="13.8">
      <c r="R9133" s="10">
        <v>9105</v>
      </c>
    </row>
    <row r="9134" spans="18:18" ht="13.8">
      <c r="R9134" s="10">
        <v>9106</v>
      </c>
    </row>
    <row r="9135" spans="18:18" ht="13.8">
      <c r="R9135" s="10">
        <v>9107</v>
      </c>
    </row>
    <row r="9136" spans="18:18" ht="13.8">
      <c r="R9136" s="10">
        <v>9108</v>
      </c>
    </row>
    <row r="9137" spans="18:18" ht="13.8">
      <c r="R9137" s="10">
        <v>9109</v>
      </c>
    </row>
    <row r="9138" spans="18:18" ht="13.8">
      <c r="R9138" s="10">
        <v>9110</v>
      </c>
    </row>
    <row r="9139" spans="18:18" ht="13.8">
      <c r="R9139" s="10">
        <v>9111</v>
      </c>
    </row>
    <row r="9140" spans="18:18" ht="13.8">
      <c r="R9140" s="10">
        <v>9112</v>
      </c>
    </row>
    <row r="9141" spans="18:18" ht="13.8">
      <c r="R9141" s="10">
        <v>9113</v>
      </c>
    </row>
    <row r="9142" spans="18:18" ht="13.8">
      <c r="R9142" s="10">
        <v>9114</v>
      </c>
    </row>
    <row r="9143" spans="18:18" ht="13.8">
      <c r="R9143" s="10">
        <v>9115</v>
      </c>
    </row>
    <row r="9144" spans="18:18" ht="13.8">
      <c r="R9144" s="10">
        <v>9116</v>
      </c>
    </row>
    <row r="9145" spans="18:18" ht="13.8">
      <c r="R9145" s="10">
        <v>9117</v>
      </c>
    </row>
    <row r="9146" spans="18:18" ht="13.8">
      <c r="R9146" s="10">
        <v>9118</v>
      </c>
    </row>
    <row r="9147" spans="18:18" ht="13.8">
      <c r="R9147" s="10">
        <v>9119</v>
      </c>
    </row>
    <row r="9148" spans="18:18" ht="13.8">
      <c r="R9148" s="10">
        <v>9120</v>
      </c>
    </row>
    <row r="9149" spans="18:18" ht="13.8">
      <c r="R9149" s="10">
        <v>9121</v>
      </c>
    </row>
    <row r="9150" spans="18:18" ht="13.8">
      <c r="R9150" s="10">
        <v>9122</v>
      </c>
    </row>
    <row r="9151" spans="18:18" ht="13.8">
      <c r="R9151" s="10">
        <v>9123</v>
      </c>
    </row>
    <row r="9152" spans="18:18" ht="13.8">
      <c r="R9152" s="10">
        <v>9124</v>
      </c>
    </row>
    <row r="9153" spans="18:18" ht="13.8">
      <c r="R9153" s="10">
        <v>9125</v>
      </c>
    </row>
    <row r="9154" spans="18:18" ht="13.8">
      <c r="R9154" s="10">
        <v>9126</v>
      </c>
    </row>
    <row r="9155" spans="18:18" ht="13.8">
      <c r="R9155" s="10">
        <v>9127</v>
      </c>
    </row>
    <row r="9156" spans="18:18" ht="13.8">
      <c r="R9156" s="10">
        <v>9128</v>
      </c>
    </row>
    <row r="9157" spans="18:18" ht="13.8">
      <c r="R9157" s="10">
        <v>9129</v>
      </c>
    </row>
    <row r="9158" spans="18:18" ht="13.8">
      <c r="R9158" s="10">
        <v>9130</v>
      </c>
    </row>
    <row r="9159" spans="18:18" ht="13.8">
      <c r="R9159" s="10">
        <v>9131</v>
      </c>
    </row>
    <row r="9160" spans="18:18" ht="13.8">
      <c r="R9160" s="10">
        <v>9132</v>
      </c>
    </row>
    <row r="9161" spans="18:18" ht="13.8">
      <c r="R9161" s="10">
        <v>9133</v>
      </c>
    </row>
    <row r="9162" spans="18:18" ht="13.8">
      <c r="R9162" s="10">
        <v>9134</v>
      </c>
    </row>
    <row r="9163" spans="18:18" ht="13.8">
      <c r="R9163" s="10">
        <v>9135</v>
      </c>
    </row>
    <row r="9164" spans="18:18" ht="13.8">
      <c r="R9164" s="10">
        <v>9136</v>
      </c>
    </row>
    <row r="9165" spans="18:18" ht="13.8">
      <c r="R9165" s="10">
        <v>9137</v>
      </c>
    </row>
    <row r="9166" spans="18:18" ht="13.8">
      <c r="R9166" s="10">
        <v>9138</v>
      </c>
    </row>
    <row r="9167" spans="18:18" ht="13.8">
      <c r="R9167" s="10">
        <v>9139</v>
      </c>
    </row>
    <row r="9168" spans="18:18" ht="13.8">
      <c r="R9168" s="10">
        <v>9140</v>
      </c>
    </row>
    <row r="9169" spans="18:18" ht="13.8">
      <c r="R9169" s="10">
        <v>9141</v>
      </c>
    </row>
    <row r="9170" spans="18:18" ht="13.8">
      <c r="R9170" s="10">
        <v>9142</v>
      </c>
    </row>
    <row r="9171" spans="18:18" ht="13.8">
      <c r="R9171" s="10">
        <v>9143</v>
      </c>
    </row>
    <row r="9172" spans="18:18" ht="13.8">
      <c r="R9172" s="10">
        <v>9144</v>
      </c>
    </row>
    <row r="9173" spans="18:18" ht="13.8">
      <c r="R9173" s="10">
        <v>9145</v>
      </c>
    </row>
    <row r="9174" spans="18:18" ht="13.8">
      <c r="R9174" s="10">
        <v>9146</v>
      </c>
    </row>
    <row r="9175" spans="18:18" ht="13.8">
      <c r="R9175" s="10">
        <v>9147</v>
      </c>
    </row>
    <row r="9176" spans="18:18" ht="13.8">
      <c r="R9176" s="10">
        <v>9148</v>
      </c>
    </row>
    <row r="9177" spans="18:18" ht="13.8">
      <c r="R9177" s="10">
        <v>9149</v>
      </c>
    </row>
    <row r="9178" spans="18:18" ht="13.8">
      <c r="R9178" s="10">
        <v>9150</v>
      </c>
    </row>
    <row r="9179" spans="18:18" ht="13.8">
      <c r="R9179" s="10">
        <v>9151</v>
      </c>
    </row>
    <row r="9180" spans="18:18" ht="13.8">
      <c r="R9180" s="10">
        <v>9152</v>
      </c>
    </row>
    <row r="9181" spans="18:18" ht="13.8">
      <c r="R9181" s="10">
        <v>9153</v>
      </c>
    </row>
    <row r="9182" spans="18:18" ht="13.8">
      <c r="R9182" s="10">
        <v>9154</v>
      </c>
    </row>
    <row r="9183" spans="18:18" ht="13.8">
      <c r="R9183" s="10">
        <v>9155</v>
      </c>
    </row>
    <row r="9184" spans="18:18" ht="13.8">
      <c r="R9184" s="10">
        <v>9156</v>
      </c>
    </row>
    <row r="9185" spans="18:18" ht="13.8">
      <c r="R9185" s="10">
        <v>9157</v>
      </c>
    </row>
    <row r="9186" spans="18:18" ht="13.8">
      <c r="R9186" s="10">
        <v>9158</v>
      </c>
    </row>
    <row r="9187" spans="18:18" ht="13.8">
      <c r="R9187" s="10">
        <v>9159</v>
      </c>
    </row>
    <row r="9188" spans="18:18" ht="13.8">
      <c r="R9188" s="10">
        <v>9160</v>
      </c>
    </row>
    <row r="9189" spans="18:18" ht="13.8">
      <c r="R9189" s="10">
        <v>9161</v>
      </c>
    </row>
    <row r="9190" spans="18:18" ht="13.8">
      <c r="R9190" s="10">
        <v>9162</v>
      </c>
    </row>
    <row r="9191" spans="18:18" ht="13.8">
      <c r="R9191" s="10">
        <v>9163</v>
      </c>
    </row>
    <row r="9192" spans="18:18" ht="13.8">
      <c r="R9192" s="10">
        <v>9164</v>
      </c>
    </row>
    <row r="9193" spans="18:18" ht="13.8">
      <c r="R9193" s="10">
        <v>9165</v>
      </c>
    </row>
    <row r="9194" spans="18:18" ht="13.8">
      <c r="R9194" s="10">
        <v>9166</v>
      </c>
    </row>
    <row r="9195" spans="18:18" ht="13.8">
      <c r="R9195" s="10">
        <v>9167</v>
      </c>
    </row>
    <row r="9196" spans="18:18" ht="13.8">
      <c r="R9196" s="10">
        <v>9168</v>
      </c>
    </row>
    <row r="9197" spans="18:18" ht="13.8">
      <c r="R9197" s="10">
        <v>9169</v>
      </c>
    </row>
    <row r="9198" spans="18:18" ht="13.8">
      <c r="R9198" s="10">
        <v>9170</v>
      </c>
    </row>
    <row r="9199" spans="18:18" ht="13.8">
      <c r="R9199" s="10">
        <v>9171</v>
      </c>
    </row>
    <row r="9200" spans="18:18" ht="13.8">
      <c r="R9200" s="10">
        <v>9172</v>
      </c>
    </row>
    <row r="9201" spans="18:18" ht="13.8">
      <c r="R9201" s="10">
        <v>9173</v>
      </c>
    </row>
    <row r="9202" spans="18:18" ht="13.8">
      <c r="R9202" s="10">
        <v>9174</v>
      </c>
    </row>
    <row r="9203" spans="18:18" ht="13.8">
      <c r="R9203" s="10">
        <v>9175</v>
      </c>
    </row>
    <row r="9204" spans="18:18" ht="13.8">
      <c r="R9204" s="10">
        <v>9176</v>
      </c>
    </row>
    <row r="9205" spans="18:18" ht="13.8">
      <c r="R9205" s="10">
        <v>9177</v>
      </c>
    </row>
    <row r="9206" spans="18:18" ht="13.8">
      <c r="R9206" s="10">
        <v>9178</v>
      </c>
    </row>
    <row r="9207" spans="18:18" ht="13.8">
      <c r="R9207" s="10">
        <v>9179</v>
      </c>
    </row>
    <row r="9208" spans="18:18" ht="13.8">
      <c r="R9208" s="10">
        <v>9180</v>
      </c>
    </row>
    <row r="9209" spans="18:18" ht="13.8">
      <c r="R9209" s="10">
        <v>9181</v>
      </c>
    </row>
    <row r="9210" spans="18:18" ht="13.8">
      <c r="R9210" s="10">
        <v>9182</v>
      </c>
    </row>
    <row r="9211" spans="18:18" ht="13.8">
      <c r="R9211" s="10">
        <v>9183</v>
      </c>
    </row>
    <row r="9212" spans="18:18" ht="13.8">
      <c r="R9212" s="10">
        <v>9184</v>
      </c>
    </row>
    <row r="9213" spans="18:18" ht="13.8">
      <c r="R9213" s="10">
        <v>9185</v>
      </c>
    </row>
    <row r="9214" spans="18:18" ht="13.8">
      <c r="R9214" s="10">
        <v>9186</v>
      </c>
    </row>
    <row r="9215" spans="18:18" ht="13.8">
      <c r="R9215" s="10">
        <v>9187</v>
      </c>
    </row>
    <row r="9216" spans="18:18" ht="13.8">
      <c r="R9216" s="10">
        <v>9188</v>
      </c>
    </row>
    <row r="9217" spans="18:18" ht="13.8">
      <c r="R9217" s="10">
        <v>9189</v>
      </c>
    </row>
    <row r="9218" spans="18:18" ht="13.8">
      <c r="R9218" s="10">
        <v>9190</v>
      </c>
    </row>
    <row r="9219" spans="18:18" ht="13.8">
      <c r="R9219" s="10">
        <v>9191</v>
      </c>
    </row>
    <row r="9220" spans="18:18" ht="13.8">
      <c r="R9220" s="10">
        <v>9192</v>
      </c>
    </row>
    <row r="9221" spans="18:18" ht="13.8">
      <c r="R9221" s="10">
        <v>9193</v>
      </c>
    </row>
    <row r="9222" spans="18:18" ht="13.8">
      <c r="R9222" s="10">
        <v>9194</v>
      </c>
    </row>
    <row r="9223" spans="18:18" ht="13.8">
      <c r="R9223" s="10">
        <v>9195</v>
      </c>
    </row>
    <row r="9224" spans="18:18" ht="13.8">
      <c r="R9224" s="10">
        <v>9196</v>
      </c>
    </row>
    <row r="9225" spans="18:18" ht="13.8">
      <c r="R9225" s="10">
        <v>9197</v>
      </c>
    </row>
    <row r="9226" spans="18:18" ht="13.8">
      <c r="R9226" s="10">
        <v>9198</v>
      </c>
    </row>
    <row r="9227" spans="18:18" ht="13.8">
      <c r="R9227" s="10">
        <v>9199</v>
      </c>
    </row>
    <row r="9228" spans="18:18" ht="13.8">
      <c r="R9228" s="10">
        <v>9200</v>
      </c>
    </row>
    <row r="9229" spans="18:18" ht="13.8">
      <c r="R9229" s="10">
        <v>9201</v>
      </c>
    </row>
    <row r="9230" spans="18:18" ht="13.8">
      <c r="R9230" s="10">
        <v>9202</v>
      </c>
    </row>
    <row r="9231" spans="18:18" ht="13.8">
      <c r="R9231" s="10">
        <v>9203</v>
      </c>
    </row>
    <row r="9232" spans="18:18" ht="13.8">
      <c r="R9232" s="10">
        <v>9204</v>
      </c>
    </row>
    <row r="9233" spans="18:18" ht="13.8">
      <c r="R9233" s="10">
        <v>9205</v>
      </c>
    </row>
    <row r="9234" spans="18:18" ht="13.8">
      <c r="R9234" s="10">
        <v>9206</v>
      </c>
    </row>
    <row r="9235" spans="18:18" ht="13.8">
      <c r="R9235" s="10">
        <v>9207</v>
      </c>
    </row>
    <row r="9236" spans="18:18" ht="13.8">
      <c r="R9236" s="10">
        <v>9208</v>
      </c>
    </row>
    <row r="9237" spans="18:18" ht="13.8">
      <c r="R9237" s="10">
        <v>9209</v>
      </c>
    </row>
    <row r="9238" spans="18:18" ht="13.8">
      <c r="R9238" s="10">
        <v>9210</v>
      </c>
    </row>
    <row r="9239" spans="18:18" ht="13.8">
      <c r="R9239" s="10">
        <v>9211</v>
      </c>
    </row>
    <row r="9240" spans="18:18" ht="13.8">
      <c r="R9240" s="10">
        <v>9212</v>
      </c>
    </row>
    <row r="9241" spans="18:18" ht="13.8">
      <c r="R9241" s="10">
        <v>9213</v>
      </c>
    </row>
    <row r="9242" spans="18:18" ht="13.8">
      <c r="R9242" s="10">
        <v>9214</v>
      </c>
    </row>
    <row r="9243" spans="18:18" ht="13.8">
      <c r="R9243" s="10">
        <v>9215</v>
      </c>
    </row>
    <row r="9244" spans="18:18" ht="13.8">
      <c r="R9244" s="10">
        <v>9216</v>
      </c>
    </row>
    <row r="9245" spans="18:18" ht="13.8">
      <c r="R9245" s="10">
        <v>9217</v>
      </c>
    </row>
    <row r="9246" spans="18:18" ht="13.8">
      <c r="R9246" s="10">
        <v>9218</v>
      </c>
    </row>
    <row r="9247" spans="18:18" ht="13.8">
      <c r="R9247" s="10">
        <v>9219</v>
      </c>
    </row>
    <row r="9248" spans="18:18" ht="13.8">
      <c r="R9248" s="10">
        <v>9220</v>
      </c>
    </row>
    <row r="9249" spans="18:18" ht="13.8">
      <c r="R9249" s="10">
        <v>9221</v>
      </c>
    </row>
    <row r="9250" spans="18:18" ht="13.8">
      <c r="R9250" s="10">
        <v>9222</v>
      </c>
    </row>
    <row r="9251" spans="18:18" ht="13.8">
      <c r="R9251" s="10">
        <v>9223</v>
      </c>
    </row>
    <row r="9252" spans="18:18" ht="13.8">
      <c r="R9252" s="10">
        <v>9224</v>
      </c>
    </row>
    <row r="9253" spans="18:18" ht="13.8">
      <c r="R9253" s="10">
        <v>9225</v>
      </c>
    </row>
    <row r="9254" spans="18:18" ht="13.8">
      <c r="R9254" s="10">
        <v>9226</v>
      </c>
    </row>
    <row r="9255" spans="18:18" ht="13.8">
      <c r="R9255" s="10">
        <v>9227</v>
      </c>
    </row>
    <row r="9256" spans="18:18" ht="13.8">
      <c r="R9256" s="10">
        <v>9228</v>
      </c>
    </row>
    <row r="9257" spans="18:18" ht="13.8">
      <c r="R9257" s="10">
        <v>9229</v>
      </c>
    </row>
    <row r="9258" spans="18:18" ht="13.8">
      <c r="R9258" s="10">
        <v>9230</v>
      </c>
    </row>
    <row r="9259" spans="18:18" ht="13.8">
      <c r="R9259" s="10">
        <v>9231</v>
      </c>
    </row>
    <row r="9260" spans="18:18" ht="13.8">
      <c r="R9260" s="10">
        <v>9232</v>
      </c>
    </row>
    <row r="9261" spans="18:18" ht="13.8">
      <c r="R9261" s="10">
        <v>9233</v>
      </c>
    </row>
    <row r="9262" spans="18:18" ht="13.8">
      <c r="R9262" s="10">
        <v>9234</v>
      </c>
    </row>
    <row r="9263" spans="18:18" ht="13.8">
      <c r="R9263" s="10">
        <v>9235</v>
      </c>
    </row>
    <row r="9264" spans="18:18" ht="13.8">
      <c r="R9264" s="10">
        <v>9236</v>
      </c>
    </row>
    <row r="9265" spans="18:18" ht="13.8">
      <c r="R9265" s="10">
        <v>9237</v>
      </c>
    </row>
    <row r="9266" spans="18:18" ht="13.8">
      <c r="R9266" s="10">
        <v>9238</v>
      </c>
    </row>
    <row r="9267" spans="18:18" ht="13.8">
      <c r="R9267" s="10">
        <v>9239</v>
      </c>
    </row>
    <row r="9268" spans="18:18" ht="13.8">
      <c r="R9268" s="10">
        <v>9240</v>
      </c>
    </row>
    <row r="9269" spans="18:18" ht="13.8">
      <c r="R9269" s="10">
        <v>9241</v>
      </c>
    </row>
    <row r="9270" spans="18:18" ht="13.8">
      <c r="R9270" s="10">
        <v>9242</v>
      </c>
    </row>
    <row r="9271" spans="18:18" ht="13.8">
      <c r="R9271" s="10">
        <v>9243</v>
      </c>
    </row>
    <row r="9272" spans="18:18" ht="13.8">
      <c r="R9272" s="10">
        <v>9244</v>
      </c>
    </row>
    <row r="9273" spans="18:18" ht="13.8">
      <c r="R9273" s="10">
        <v>9245</v>
      </c>
    </row>
    <row r="9274" spans="18:18" ht="13.8">
      <c r="R9274" s="10">
        <v>9246</v>
      </c>
    </row>
    <row r="9275" spans="18:18" ht="13.8">
      <c r="R9275" s="10">
        <v>9247</v>
      </c>
    </row>
    <row r="9276" spans="18:18" ht="13.8">
      <c r="R9276" s="10">
        <v>9248</v>
      </c>
    </row>
    <row r="9277" spans="18:18" ht="13.8">
      <c r="R9277" s="10">
        <v>9249</v>
      </c>
    </row>
    <row r="9278" spans="18:18" ht="13.8">
      <c r="R9278" s="10">
        <v>9250</v>
      </c>
    </row>
    <row r="9279" spans="18:18" ht="13.8">
      <c r="R9279" s="10">
        <v>9251</v>
      </c>
    </row>
    <row r="9280" spans="18:18" ht="13.8">
      <c r="R9280" s="10">
        <v>9252</v>
      </c>
    </row>
    <row r="9281" spans="18:18" ht="13.8">
      <c r="R9281" s="10">
        <v>9253</v>
      </c>
    </row>
    <row r="9282" spans="18:18" ht="13.8">
      <c r="R9282" s="10">
        <v>9254</v>
      </c>
    </row>
    <row r="9283" spans="18:18" ht="13.8">
      <c r="R9283" s="10">
        <v>9255</v>
      </c>
    </row>
    <row r="9284" spans="18:18" ht="13.8">
      <c r="R9284" s="10">
        <v>9256</v>
      </c>
    </row>
    <row r="9285" spans="18:18" ht="13.8">
      <c r="R9285" s="10">
        <v>9257</v>
      </c>
    </row>
    <row r="9286" spans="18:18" ht="13.8">
      <c r="R9286" s="10">
        <v>9258</v>
      </c>
    </row>
    <row r="9287" spans="18:18" ht="13.8">
      <c r="R9287" s="10">
        <v>9259</v>
      </c>
    </row>
    <row r="9288" spans="18:18" ht="13.8">
      <c r="R9288" s="10">
        <v>9260</v>
      </c>
    </row>
    <row r="9289" spans="18:18" ht="13.8">
      <c r="R9289" s="10">
        <v>9261</v>
      </c>
    </row>
    <row r="9290" spans="18:18" ht="13.8">
      <c r="R9290" s="10">
        <v>9262</v>
      </c>
    </row>
    <row r="9291" spans="18:18" ht="13.8">
      <c r="R9291" s="10">
        <v>9263</v>
      </c>
    </row>
    <row r="9292" spans="18:18" ht="13.8">
      <c r="R9292" s="10">
        <v>9264</v>
      </c>
    </row>
    <row r="9293" spans="18:18" ht="13.8">
      <c r="R9293" s="10">
        <v>9265</v>
      </c>
    </row>
    <row r="9294" spans="18:18" ht="13.8">
      <c r="R9294" s="10">
        <v>9266</v>
      </c>
    </row>
    <row r="9295" spans="18:18" ht="13.8">
      <c r="R9295" s="10">
        <v>9267</v>
      </c>
    </row>
    <row r="9296" spans="18:18" ht="13.8">
      <c r="R9296" s="10">
        <v>9268</v>
      </c>
    </row>
    <row r="9297" spans="18:18" ht="13.8">
      <c r="R9297" s="10">
        <v>9269</v>
      </c>
    </row>
    <row r="9298" spans="18:18" ht="13.8">
      <c r="R9298" s="10">
        <v>9270</v>
      </c>
    </row>
    <row r="9299" spans="18:18" ht="13.8">
      <c r="R9299" s="10">
        <v>9271</v>
      </c>
    </row>
    <row r="9300" spans="18:18" ht="13.8">
      <c r="R9300" s="10">
        <v>9272</v>
      </c>
    </row>
    <row r="9301" spans="18:18" ht="13.8">
      <c r="R9301" s="10">
        <v>9273</v>
      </c>
    </row>
    <row r="9302" spans="18:18" ht="13.8">
      <c r="R9302" s="10">
        <v>9274</v>
      </c>
    </row>
    <row r="9303" spans="18:18" ht="13.8">
      <c r="R9303" s="10">
        <v>9275</v>
      </c>
    </row>
    <row r="9304" spans="18:18" ht="13.8">
      <c r="R9304" s="10">
        <v>9276</v>
      </c>
    </row>
    <row r="9305" spans="18:18" ht="13.8">
      <c r="R9305" s="10">
        <v>9277</v>
      </c>
    </row>
    <row r="9306" spans="18:18" ht="13.8">
      <c r="R9306" s="10">
        <v>9278</v>
      </c>
    </row>
    <row r="9307" spans="18:18" ht="13.8">
      <c r="R9307" s="10">
        <v>9279</v>
      </c>
    </row>
    <row r="9308" spans="18:18" ht="13.8">
      <c r="R9308" s="10">
        <v>9280</v>
      </c>
    </row>
    <row r="9309" spans="18:18" ht="13.8">
      <c r="R9309" s="10">
        <v>9281</v>
      </c>
    </row>
    <row r="9310" spans="18:18" ht="13.8">
      <c r="R9310" s="10">
        <v>9282</v>
      </c>
    </row>
    <row r="9311" spans="18:18" ht="13.8">
      <c r="R9311" s="10">
        <v>9283</v>
      </c>
    </row>
    <row r="9312" spans="18:18" ht="13.8">
      <c r="R9312" s="10">
        <v>9284</v>
      </c>
    </row>
    <row r="9313" spans="18:18" ht="13.8">
      <c r="R9313" s="10">
        <v>9285</v>
      </c>
    </row>
    <row r="9314" spans="18:18" ht="13.8">
      <c r="R9314" s="10">
        <v>9286</v>
      </c>
    </row>
    <row r="9315" spans="18:18" ht="13.8">
      <c r="R9315" s="10">
        <v>9287</v>
      </c>
    </row>
    <row r="9316" spans="18:18" ht="13.8">
      <c r="R9316" s="10">
        <v>9288</v>
      </c>
    </row>
    <row r="9317" spans="18:18" ht="13.8">
      <c r="R9317" s="10">
        <v>9289</v>
      </c>
    </row>
    <row r="9318" spans="18:18" ht="13.8">
      <c r="R9318" s="10">
        <v>9290</v>
      </c>
    </row>
    <row r="9319" spans="18:18" ht="13.8">
      <c r="R9319" s="10">
        <v>9291</v>
      </c>
    </row>
    <row r="9320" spans="18:18" ht="13.8">
      <c r="R9320" s="10">
        <v>9292</v>
      </c>
    </row>
    <row r="9321" spans="18:18" ht="13.8">
      <c r="R9321" s="10">
        <v>9293</v>
      </c>
    </row>
    <row r="9322" spans="18:18" ht="13.8">
      <c r="R9322" s="10">
        <v>9294</v>
      </c>
    </row>
    <row r="9323" spans="18:18" ht="13.8">
      <c r="R9323" s="10">
        <v>9295</v>
      </c>
    </row>
    <row r="9324" spans="18:18" ht="13.8">
      <c r="R9324" s="10">
        <v>9296</v>
      </c>
    </row>
    <row r="9325" spans="18:18" ht="13.8">
      <c r="R9325" s="10">
        <v>9297</v>
      </c>
    </row>
    <row r="9326" spans="18:18" ht="13.8">
      <c r="R9326" s="10">
        <v>9298</v>
      </c>
    </row>
    <row r="9327" spans="18:18" ht="13.8">
      <c r="R9327" s="10">
        <v>9299</v>
      </c>
    </row>
    <row r="9328" spans="18:18" ht="13.8">
      <c r="R9328" s="10">
        <v>9300</v>
      </c>
    </row>
    <row r="9329" spans="18:18" ht="13.8">
      <c r="R9329" s="10">
        <v>9301</v>
      </c>
    </row>
    <row r="9330" spans="18:18" ht="13.8">
      <c r="R9330" s="10">
        <v>9302</v>
      </c>
    </row>
    <row r="9331" spans="18:18" ht="13.8">
      <c r="R9331" s="10">
        <v>9303</v>
      </c>
    </row>
    <row r="9332" spans="18:18" ht="13.8">
      <c r="R9332" s="10">
        <v>9304</v>
      </c>
    </row>
    <row r="9333" spans="18:18" ht="13.8">
      <c r="R9333" s="10">
        <v>9305</v>
      </c>
    </row>
    <row r="9334" spans="18:18" ht="13.8">
      <c r="R9334" s="10">
        <v>9306</v>
      </c>
    </row>
    <row r="9335" spans="18:18" ht="13.8">
      <c r="R9335" s="10">
        <v>9307</v>
      </c>
    </row>
    <row r="9336" spans="18:18" ht="13.8">
      <c r="R9336" s="10">
        <v>9308</v>
      </c>
    </row>
    <row r="9337" spans="18:18" ht="13.8">
      <c r="R9337" s="10">
        <v>9309</v>
      </c>
    </row>
    <row r="9338" spans="18:18" ht="13.8">
      <c r="R9338" s="10">
        <v>9310</v>
      </c>
    </row>
    <row r="9339" spans="18:18" ht="13.8">
      <c r="R9339" s="10">
        <v>9311</v>
      </c>
    </row>
    <row r="9340" spans="18:18" ht="13.8">
      <c r="R9340" s="10">
        <v>9312</v>
      </c>
    </row>
    <row r="9341" spans="18:18" ht="13.8">
      <c r="R9341" s="10">
        <v>9313</v>
      </c>
    </row>
    <row r="9342" spans="18:18" ht="13.8">
      <c r="R9342" s="10">
        <v>9314</v>
      </c>
    </row>
    <row r="9343" spans="18:18" ht="13.8">
      <c r="R9343" s="10">
        <v>9315</v>
      </c>
    </row>
    <row r="9344" spans="18:18" ht="13.8">
      <c r="R9344" s="10">
        <v>9316</v>
      </c>
    </row>
    <row r="9345" spans="18:18" ht="13.8">
      <c r="R9345" s="10">
        <v>9317</v>
      </c>
    </row>
    <row r="9346" spans="18:18" ht="13.8">
      <c r="R9346" s="10">
        <v>9318</v>
      </c>
    </row>
    <row r="9347" spans="18:18" ht="13.8">
      <c r="R9347" s="10">
        <v>9319</v>
      </c>
    </row>
    <row r="9348" spans="18:18" ht="13.8">
      <c r="R9348" s="10">
        <v>9320</v>
      </c>
    </row>
    <row r="9349" spans="18:18" ht="13.8">
      <c r="R9349" s="10">
        <v>9321</v>
      </c>
    </row>
    <row r="9350" spans="18:18" ht="13.8">
      <c r="R9350" s="10">
        <v>9322</v>
      </c>
    </row>
    <row r="9351" spans="18:18" ht="13.8">
      <c r="R9351" s="10">
        <v>9323</v>
      </c>
    </row>
    <row r="9352" spans="18:18" ht="13.8">
      <c r="R9352" s="10">
        <v>9324</v>
      </c>
    </row>
    <row r="9353" spans="18:18" ht="13.8">
      <c r="R9353" s="10">
        <v>9325</v>
      </c>
    </row>
    <row r="9354" spans="18:18" ht="13.8">
      <c r="R9354" s="10">
        <v>9326</v>
      </c>
    </row>
    <row r="9355" spans="18:18" ht="13.8">
      <c r="R9355" s="10">
        <v>9327</v>
      </c>
    </row>
    <row r="9356" spans="18:18" ht="13.8">
      <c r="R9356" s="10">
        <v>9328</v>
      </c>
    </row>
    <row r="9357" spans="18:18" ht="13.8">
      <c r="R9357" s="10">
        <v>9329</v>
      </c>
    </row>
    <row r="9358" spans="18:18" ht="13.8">
      <c r="R9358" s="10">
        <v>9330</v>
      </c>
    </row>
    <row r="9359" spans="18:18" ht="13.8">
      <c r="R9359" s="10">
        <v>9331</v>
      </c>
    </row>
    <row r="9360" spans="18:18" ht="13.8">
      <c r="R9360" s="10">
        <v>9332</v>
      </c>
    </row>
    <row r="9361" spans="18:18" ht="13.8">
      <c r="R9361" s="10">
        <v>9333</v>
      </c>
    </row>
    <row r="9362" spans="18:18" ht="13.8">
      <c r="R9362" s="10">
        <v>9334</v>
      </c>
    </row>
    <row r="9363" spans="18:18" ht="13.8">
      <c r="R9363" s="10">
        <v>9335</v>
      </c>
    </row>
    <row r="9364" spans="18:18" ht="13.8">
      <c r="R9364" s="10">
        <v>9336</v>
      </c>
    </row>
    <row r="9365" spans="18:18" ht="13.8">
      <c r="R9365" s="10">
        <v>9337</v>
      </c>
    </row>
    <row r="9366" spans="18:18" ht="13.8">
      <c r="R9366" s="10">
        <v>9338</v>
      </c>
    </row>
    <row r="9367" spans="18:18" ht="13.8">
      <c r="R9367" s="10">
        <v>9339</v>
      </c>
    </row>
    <row r="9368" spans="18:18" ht="13.8">
      <c r="R9368" s="10">
        <v>9340</v>
      </c>
    </row>
    <row r="9369" spans="18:18" ht="13.8">
      <c r="R9369" s="10">
        <v>9341</v>
      </c>
    </row>
    <row r="9370" spans="18:18" ht="13.8">
      <c r="R9370" s="10">
        <v>9342</v>
      </c>
    </row>
    <row r="9371" spans="18:18" ht="13.8">
      <c r="R9371" s="10">
        <v>9343</v>
      </c>
    </row>
    <row r="9372" spans="18:18" ht="13.8">
      <c r="R9372" s="10">
        <v>9344</v>
      </c>
    </row>
    <row r="9373" spans="18:18" ht="13.8">
      <c r="R9373" s="10">
        <v>9345</v>
      </c>
    </row>
    <row r="9374" spans="18:18" ht="13.8">
      <c r="R9374" s="10">
        <v>9346</v>
      </c>
    </row>
    <row r="9375" spans="18:18" ht="13.8">
      <c r="R9375" s="10">
        <v>9347</v>
      </c>
    </row>
    <row r="9376" spans="18:18" ht="13.8">
      <c r="R9376" s="10">
        <v>9348</v>
      </c>
    </row>
    <row r="9377" spans="18:18" ht="13.8">
      <c r="R9377" s="10">
        <v>9349</v>
      </c>
    </row>
    <row r="9378" spans="18:18" ht="13.8">
      <c r="R9378" s="10">
        <v>9350</v>
      </c>
    </row>
    <row r="9379" spans="18:18" ht="13.8">
      <c r="R9379" s="10">
        <v>9351</v>
      </c>
    </row>
    <row r="9380" spans="18:18" ht="13.8">
      <c r="R9380" s="10">
        <v>9352</v>
      </c>
    </row>
    <row r="9381" spans="18:18" ht="13.8">
      <c r="R9381" s="10">
        <v>9353</v>
      </c>
    </row>
    <row r="9382" spans="18:18" ht="13.8">
      <c r="R9382" s="10">
        <v>9354</v>
      </c>
    </row>
    <row r="9383" spans="18:18" ht="13.8">
      <c r="R9383" s="10">
        <v>9355</v>
      </c>
    </row>
    <row r="9384" spans="18:18" ht="13.8">
      <c r="R9384" s="10">
        <v>9356</v>
      </c>
    </row>
    <row r="9385" spans="18:18" ht="13.8">
      <c r="R9385" s="10">
        <v>9357</v>
      </c>
    </row>
    <row r="9386" spans="18:18" ht="13.8">
      <c r="R9386" s="10">
        <v>9358</v>
      </c>
    </row>
    <row r="9387" spans="18:18" ht="13.8">
      <c r="R9387" s="10">
        <v>9359</v>
      </c>
    </row>
    <row r="9388" spans="18:18" ht="13.8">
      <c r="R9388" s="10">
        <v>9360</v>
      </c>
    </row>
    <row r="9389" spans="18:18" ht="13.8">
      <c r="R9389" s="10">
        <v>9361</v>
      </c>
    </row>
    <row r="9390" spans="18:18" ht="13.8">
      <c r="R9390" s="10">
        <v>9362</v>
      </c>
    </row>
    <row r="9391" spans="18:18" ht="13.8">
      <c r="R9391" s="10">
        <v>9363</v>
      </c>
    </row>
    <row r="9392" spans="18:18" ht="13.8">
      <c r="R9392" s="10">
        <v>9364</v>
      </c>
    </row>
    <row r="9393" spans="18:18" ht="13.8">
      <c r="R9393" s="10">
        <v>9365</v>
      </c>
    </row>
    <row r="9394" spans="18:18" ht="13.8">
      <c r="R9394" s="10">
        <v>9366</v>
      </c>
    </row>
    <row r="9395" spans="18:18" ht="13.8">
      <c r="R9395" s="10">
        <v>9367</v>
      </c>
    </row>
    <row r="9396" spans="18:18" ht="13.8">
      <c r="R9396" s="10">
        <v>9368</v>
      </c>
    </row>
    <row r="9397" spans="18:18" ht="13.8">
      <c r="R9397" s="10">
        <v>9369</v>
      </c>
    </row>
    <row r="9398" spans="18:18" ht="13.8">
      <c r="R9398" s="10">
        <v>9370</v>
      </c>
    </row>
    <row r="9399" spans="18:18" ht="13.8">
      <c r="R9399" s="10">
        <v>9371</v>
      </c>
    </row>
    <row r="9400" spans="18:18" ht="13.8">
      <c r="R9400" s="10">
        <v>9372</v>
      </c>
    </row>
    <row r="9401" spans="18:18" ht="13.8">
      <c r="R9401" s="10">
        <v>9373</v>
      </c>
    </row>
    <row r="9402" spans="18:18" ht="13.8">
      <c r="R9402" s="10">
        <v>9374</v>
      </c>
    </row>
    <row r="9403" spans="18:18" ht="13.8">
      <c r="R9403" s="10">
        <v>9375</v>
      </c>
    </row>
    <row r="9404" spans="18:18" ht="13.8">
      <c r="R9404" s="10">
        <v>9376</v>
      </c>
    </row>
    <row r="9405" spans="18:18" ht="13.8">
      <c r="R9405" s="10">
        <v>9377</v>
      </c>
    </row>
    <row r="9406" spans="18:18" ht="13.8">
      <c r="R9406" s="10">
        <v>9378</v>
      </c>
    </row>
    <row r="9407" spans="18:18" ht="13.8">
      <c r="R9407" s="10">
        <v>9379</v>
      </c>
    </row>
    <row r="9408" spans="18:18" ht="13.8">
      <c r="R9408" s="10">
        <v>9380</v>
      </c>
    </row>
    <row r="9409" spans="18:18" ht="13.8">
      <c r="R9409" s="10">
        <v>9381</v>
      </c>
    </row>
    <row r="9410" spans="18:18" ht="13.8">
      <c r="R9410" s="10">
        <v>9382</v>
      </c>
    </row>
    <row r="9411" spans="18:18" ht="13.8">
      <c r="R9411" s="10">
        <v>9383</v>
      </c>
    </row>
    <row r="9412" spans="18:18" ht="13.8">
      <c r="R9412" s="10">
        <v>9384</v>
      </c>
    </row>
    <row r="9413" spans="18:18" ht="13.8">
      <c r="R9413" s="10">
        <v>9385</v>
      </c>
    </row>
    <row r="9414" spans="18:18" ht="13.8">
      <c r="R9414" s="10">
        <v>9386</v>
      </c>
    </row>
    <row r="9415" spans="18:18" ht="13.8">
      <c r="R9415" s="10">
        <v>9387</v>
      </c>
    </row>
    <row r="9416" spans="18:18" ht="13.8">
      <c r="R9416" s="10">
        <v>9388</v>
      </c>
    </row>
    <row r="9417" spans="18:18" ht="13.8">
      <c r="R9417" s="10">
        <v>9389</v>
      </c>
    </row>
    <row r="9418" spans="18:18" ht="13.8">
      <c r="R9418" s="10">
        <v>9390</v>
      </c>
    </row>
    <row r="9419" spans="18:18" ht="13.8">
      <c r="R9419" s="10">
        <v>9391</v>
      </c>
    </row>
    <row r="9420" spans="18:18" ht="13.8">
      <c r="R9420" s="10">
        <v>9392</v>
      </c>
    </row>
    <row r="9421" spans="18:18" ht="13.8">
      <c r="R9421" s="10">
        <v>9393</v>
      </c>
    </row>
    <row r="9422" spans="18:18" ht="13.8">
      <c r="R9422" s="10">
        <v>9394</v>
      </c>
    </row>
    <row r="9423" spans="18:18" ht="13.8">
      <c r="R9423" s="10">
        <v>9395</v>
      </c>
    </row>
    <row r="9424" spans="18:18" ht="13.8">
      <c r="R9424" s="10">
        <v>9396</v>
      </c>
    </row>
    <row r="9425" spans="18:18" ht="13.8">
      <c r="R9425" s="10">
        <v>9397</v>
      </c>
    </row>
    <row r="9426" spans="18:18" ht="13.8">
      <c r="R9426" s="10">
        <v>9398</v>
      </c>
    </row>
    <row r="9427" spans="18:18" ht="13.8">
      <c r="R9427" s="10">
        <v>9399</v>
      </c>
    </row>
    <row r="9428" spans="18:18" ht="13.8">
      <c r="R9428" s="10">
        <v>9400</v>
      </c>
    </row>
    <row r="9429" spans="18:18" ht="13.8">
      <c r="R9429" s="10">
        <v>9401</v>
      </c>
    </row>
    <row r="9430" spans="18:18" ht="13.8">
      <c r="R9430" s="10">
        <v>9402</v>
      </c>
    </row>
    <row r="9431" spans="18:18" ht="13.8">
      <c r="R9431" s="10">
        <v>9403</v>
      </c>
    </row>
    <row r="9432" spans="18:18" ht="13.8">
      <c r="R9432" s="10">
        <v>9404</v>
      </c>
    </row>
    <row r="9433" spans="18:18" ht="13.8">
      <c r="R9433" s="10">
        <v>9405</v>
      </c>
    </row>
    <row r="9434" spans="18:18" ht="13.8">
      <c r="R9434" s="10">
        <v>9406</v>
      </c>
    </row>
    <row r="9435" spans="18:18" ht="13.8">
      <c r="R9435" s="10">
        <v>9407</v>
      </c>
    </row>
    <row r="9436" spans="18:18" ht="13.8">
      <c r="R9436" s="10">
        <v>9408</v>
      </c>
    </row>
    <row r="9437" spans="18:18" ht="13.8">
      <c r="R9437" s="10">
        <v>9409</v>
      </c>
    </row>
    <row r="9438" spans="18:18" ht="13.8">
      <c r="R9438" s="10">
        <v>9410</v>
      </c>
    </row>
    <row r="9439" spans="18:18" ht="13.8">
      <c r="R9439" s="10">
        <v>9411</v>
      </c>
    </row>
    <row r="9440" spans="18:18" ht="13.8">
      <c r="R9440" s="10">
        <v>9412</v>
      </c>
    </row>
    <row r="9441" spans="18:18" ht="13.8">
      <c r="R9441" s="10">
        <v>9413</v>
      </c>
    </row>
    <row r="9442" spans="18:18" ht="13.8">
      <c r="R9442" s="10">
        <v>9414</v>
      </c>
    </row>
    <row r="9443" spans="18:18" ht="13.8">
      <c r="R9443" s="10">
        <v>9415</v>
      </c>
    </row>
    <row r="9444" spans="18:18" ht="13.8">
      <c r="R9444" s="10">
        <v>9416</v>
      </c>
    </row>
    <row r="9445" spans="18:18" ht="13.8">
      <c r="R9445" s="10">
        <v>9417</v>
      </c>
    </row>
    <row r="9446" spans="18:18" ht="13.8">
      <c r="R9446" s="10">
        <v>9418</v>
      </c>
    </row>
    <row r="9447" spans="18:18" ht="13.8">
      <c r="R9447" s="10">
        <v>9419</v>
      </c>
    </row>
    <row r="9448" spans="18:18" ht="13.8">
      <c r="R9448" s="10">
        <v>9420</v>
      </c>
    </row>
    <row r="9449" spans="18:18" ht="13.8">
      <c r="R9449" s="10">
        <v>9421</v>
      </c>
    </row>
    <row r="9450" spans="18:18" ht="13.8">
      <c r="R9450" s="10">
        <v>9422</v>
      </c>
    </row>
    <row r="9451" spans="18:18" ht="13.8">
      <c r="R9451" s="10">
        <v>9423</v>
      </c>
    </row>
    <row r="9452" spans="18:18" ht="13.8">
      <c r="R9452" s="10">
        <v>9424</v>
      </c>
    </row>
    <row r="9453" spans="18:18" ht="13.8">
      <c r="R9453" s="10">
        <v>9425</v>
      </c>
    </row>
    <row r="9454" spans="18:18" ht="13.8">
      <c r="R9454" s="10">
        <v>9426</v>
      </c>
    </row>
    <row r="9455" spans="18:18" ht="13.8">
      <c r="R9455" s="10">
        <v>9427</v>
      </c>
    </row>
    <row r="9456" spans="18:18" ht="13.8">
      <c r="R9456" s="10">
        <v>9428</v>
      </c>
    </row>
    <row r="9457" spans="18:18" ht="13.8">
      <c r="R9457" s="10">
        <v>9429</v>
      </c>
    </row>
    <row r="9458" spans="18:18" ht="13.8">
      <c r="R9458" s="10">
        <v>9430</v>
      </c>
    </row>
    <row r="9459" spans="18:18" ht="13.8">
      <c r="R9459" s="10">
        <v>9431</v>
      </c>
    </row>
    <row r="9460" spans="18:18" ht="13.8">
      <c r="R9460" s="10">
        <v>9432</v>
      </c>
    </row>
    <row r="9461" spans="18:18" ht="13.8">
      <c r="R9461" s="10">
        <v>9433</v>
      </c>
    </row>
    <row r="9462" spans="18:18" ht="13.8">
      <c r="R9462" s="10">
        <v>9434</v>
      </c>
    </row>
    <row r="9463" spans="18:18" ht="13.8">
      <c r="R9463" s="10">
        <v>9435</v>
      </c>
    </row>
    <row r="9464" spans="18:18" ht="13.8">
      <c r="R9464" s="10">
        <v>9436</v>
      </c>
    </row>
    <row r="9465" spans="18:18" ht="13.8">
      <c r="R9465" s="10">
        <v>9437</v>
      </c>
    </row>
    <row r="9466" spans="18:18" ht="13.8">
      <c r="R9466" s="10">
        <v>9438</v>
      </c>
    </row>
    <row r="9467" spans="18:18" ht="13.8">
      <c r="R9467" s="10">
        <v>9439</v>
      </c>
    </row>
    <row r="9468" spans="18:18" ht="13.8">
      <c r="R9468" s="10">
        <v>9440</v>
      </c>
    </row>
    <row r="9469" spans="18:18" ht="13.8">
      <c r="R9469" s="10">
        <v>9441</v>
      </c>
    </row>
    <row r="9470" spans="18:18" ht="13.8">
      <c r="R9470" s="10">
        <v>9442</v>
      </c>
    </row>
    <row r="9471" spans="18:18" ht="13.8">
      <c r="R9471" s="10">
        <v>9443</v>
      </c>
    </row>
    <row r="9472" spans="18:18" ht="13.8">
      <c r="R9472" s="10">
        <v>9444</v>
      </c>
    </row>
    <row r="9473" spans="18:18" ht="13.8">
      <c r="R9473" s="10">
        <v>9445</v>
      </c>
    </row>
    <row r="9474" spans="18:18" ht="13.8">
      <c r="R9474" s="10">
        <v>9446</v>
      </c>
    </row>
    <row r="9475" spans="18:18" ht="13.8">
      <c r="R9475" s="10">
        <v>9447</v>
      </c>
    </row>
    <row r="9476" spans="18:18" ht="13.8">
      <c r="R9476" s="10">
        <v>9448</v>
      </c>
    </row>
    <row r="9477" spans="18:18" ht="13.8">
      <c r="R9477" s="10">
        <v>9449</v>
      </c>
    </row>
    <row r="9478" spans="18:18" ht="13.8">
      <c r="R9478" s="10">
        <v>9450</v>
      </c>
    </row>
    <row r="9479" spans="18:18" ht="13.8">
      <c r="R9479" s="10">
        <v>9451</v>
      </c>
    </row>
    <row r="9480" spans="18:18" ht="13.8">
      <c r="R9480" s="10">
        <v>9452</v>
      </c>
    </row>
    <row r="9481" spans="18:18" ht="13.8">
      <c r="R9481" s="10">
        <v>9453</v>
      </c>
    </row>
    <row r="9482" spans="18:18" ht="13.8">
      <c r="R9482" s="10">
        <v>9454</v>
      </c>
    </row>
    <row r="9483" spans="18:18" ht="13.8">
      <c r="R9483" s="10">
        <v>9455</v>
      </c>
    </row>
    <row r="9484" spans="18:18" ht="13.8">
      <c r="R9484" s="10">
        <v>9456</v>
      </c>
    </row>
    <row r="9485" spans="18:18" ht="13.8">
      <c r="R9485" s="10">
        <v>9457</v>
      </c>
    </row>
    <row r="9486" spans="18:18" ht="13.8">
      <c r="R9486" s="10">
        <v>9458</v>
      </c>
    </row>
    <row r="9487" spans="18:18" ht="13.8">
      <c r="R9487" s="10">
        <v>9459</v>
      </c>
    </row>
    <row r="9488" spans="18:18" ht="13.8">
      <c r="R9488" s="10">
        <v>9460</v>
      </c>
    </row>
    <row r="9489" spans="18:18" ht="13.8">
      <c r="R9489" s="10">
        <v>9461</v>
      </c>
    </row>
    <row r="9490" spans="18:18" ht="13.8">
      <c r="R9490" s="10">
        <v>9462</v>
      </c>
    </row>
    <row r="9491" spans="18:18" ht="13.8">
      <c r="R9491" s="10">
        <v>9463</v>
      </c>
    </row>
    <row r="9492" spans="18:18" ht="13.8">
      <c r="R9492" s="10">
        <v>9464</v>
      </c>
    </row>
    <row r="9493" spans="18:18" ht="13.8">
      <c r="R9493" s="10">
        <v>9465</v>
      </c>
    </row>
    <row r="9494" spans="18:18" ht="13.8">
      <c r="R9494" s="10">
        <v>9466</v>
      </c>
    </row>
    <row r="9495" spans="18:18" ht="13.8">
      <c r="R9495" s="10">
        <v>9467</v>
      </c>
    </row>
    <row r="9496" spans="18:18" ht="13.8">
      <c r="R9496" s="10">
        <v>9468</v>
      </c>
    </row>
    <row r="9497" spans="18:18" ht="13.8">
      <c r="R9497" s="10">
        <v>9469</v>
      </c>
    </row>
    <row r="9498" spans="18:18" ht="13.8">
      <c r="R9498" s="10">
        <v>9470</v>
      </c>
    </row>
    <row r="9499" spans="18:18" ht="13.8">
      <c r="R9499" s="10">
        <v>9471</v>
      </c>
    </row>
    <row r="9500" spans="18:18" ht="13.8">
      <c r="R9500" s="10">
        <v>9472</v>
      </c>
    </row>
    <row r="9501" spans="18:18" ht="13.8">
      <c r="R9501" s="10">
        <v>9473</v>
      </c>
    </row>
    <row r="9502" spans="18:18" ht="13.8">
      <c r="R9502" s="10">
        <v>9474</v>
      </c>
    </row>
    <row r="9503" spans="18:18" ht="13.8">
      <c r="R9503" s="10">
        <v>9475</v>
      </c>
    </row>
    <row r="9504" spans="18:18" ht="13.8">
      <c r="R9504" s="10">
        <v>9476</v>
      </c>
    </row>
    <row r="9505" spans="18:18" ht="13.8">
      <c r="R9505" s="10">
        <v>9477</v>
      </c>
    </row>
    <row r="9506" spans="18:18" ht="13.8">
      <c r="R9506" s="10">
        <v>9478</v>
      </c>
    </row>
    <row r="9507" spans="18:18" ht="13.8">
      <c r="R9507" s="10">
        <v>9479</v>
      </c>
    </row>
    <row r="9508" spans="18:18" ht="13.8">
      <c r="R9508" s="10">
        <v>9480</v>
      </c>
    </row>
    <row r="9509" spans="18:18" ht="13.8">
      <c r="R9509" s="10">
        <v>9481</v>
      </c>
    </row>
    <row r="9510" spans="18:18" ht="13.8">
      <c r="R9510" s="10">
        <v>9482</v>
      </c>
    </row>
    <row r="9511" spans="18:18" ht="13.8">
      <c r="R9511" s="10">
        <v>9483</v>
      </c>
    </row>
    <row r="9512" spans="18:18" ht="13.8">
      <c r="R9512" s="10">
        <v>9484</v>
      </c>
    </row>
    <row r="9513" spans="18:18" ht="13.8">
      <c r="R9513" s="10">
        <v>9485</v>
      </c>
    </row>
    <row r="9514" spans="18:18" ht="13.8">
      <c r="R9514" s="10">
        <v>9486</v>
      </c>
    </row>
    <row r="9515" spans="18:18" ht="13.8">
      <c r="R9515" s="10">
        <v>9487</v>
      </c>
    </row>
    <row r="9516" spans="18:18" ht="13.8">
      <c r="R9516" s="10">
        <v>9488</v>
      </c>
    </row>
    <row r="9517" spans="18:18" ht="13.8">
      <c r="R9517" s="10">
        <v>9489</v>
      </c>
    </row>
    <row r="9518" spans="18:18" ht="13.8">
      <c r="R9518" s="10">
        <v>9490</v>
      </c>
    </row>
    <row r="9519" spans="18:18" ht="13.8">
      <c r="R9519" s="10">
        <v>9491</v>
      </c>
    </row>
    <row r="9520" spans="18:18" ht="13.8">
      <c r="R9520" s="10">
        <v>9492</v>
      </c>
    </row>
    <row r="9521" spans="18:18" ht="13.8">
      <c r="R9521" s="10">
        <v>9493</v>
      </c>
    </row>
    <row r="9522" spans="18:18" ht="13.8">
      <c r="R9522" s="10">
        <v>9494</v>
      </c>
    </row>
    <row r="9523" spans="18:18" ht="13.8">
      <c r="R9523" s="10">
        <v>9495</v>
      </c>
    </row>
    <row r="9524" spans="18:18" ht="13.8">
      <c r="R9524" s="10">
        <v>9496</v>
      </c>
    </row>
    <row r="9525" spans="18:18" ht="13.8">
      <c r="R9525" s="10">
        <v>9497</v>
      </c>
    </row>
    <row r="9526" spans="18:18" ht="13.8">
      <c r="R9526" s="10">
        <v>9498</v>
      </c>
    </row>
    <row r="9527" spans="18:18" ht="13.8">
      <c r="R9527" s="10">
        <v>9499</v>
      </c>
    </row>
    <row r="9528" spans="18:18" ht="13.8">
      <c r="R9528" s="10">
        <v>9500</v>
      </c>
    </row>
    <row r="9529" spans="18:18" ht="13.8">
      <c r="R9529" s="10">
        <v>9501</v>
      </c>
    </row>
    <row r="9530" spans="18:18" ht="13.8">
      <c r="R9530" s="10">
        <v>9502</v>
      </c>
    </row>
    <row r="9531" spans="18:18" ht="13.8">
      <c r="R9531" s="10">
        <v>9503</v>
      </c>
    </row>
    <row r="9532" spans="18:18" ht="13.8">
      <c r="R9532" s="10">
        <v>9504</v>
      </c>
    </row>
    <row r="9533" spans="18:18" ht="13.8">
      <c r="R9533" s="10">
        <v>9505</v>
      </c>
    </row>
    <row r="9534" spans="18:18" ht="13.8">
      <c r="R9534" s="10">
        <v>9506</v>
      </c>
    </row>
    <row r="9535" spans="18:18" ht="13.8">
      <c r="R9535" s="10">
        <v>9507</v>
      </c>
    </row>
    <row r="9536" spans="18:18" ht="13.8">
      <c r="R9536" s="10">
        <v>9508</v>
      </c>
    </row>
    <row r="9537" spans="18:18" ht="13.8">
      <c r="R9537" s="10">
        <v>9509</v>
      </c>
    </row>
    <row r="9538" spans="18:18" ht="13.8">
      <c r="R9538" s="10">
        <v>9510</v>
      </c>
    </row>
    <row r="9539" spans="18:18" ht="13.8">
      <c r="R9539" s="10">
        <v>9511</v>
      </c>
    </row>
    <row r="9540" spans="18:18" ht="13.8">
      <c r="R9540" s="10">
        <v>9512</v>
      </c>
    </row>
    <row r="9541" spans="18:18" ht="13.8">
      <c r="R9541" s="10">
        <v>9513</v>
      </c>
    </row>
    <row r="9542" spans="18:18" ht="13.8">
      <c r="R9542" s="10">
        <v>9514</v>
      </c>
    </row>
    <row r="9543" spans="18:18" ht="13.8">
      <c r="R9543" s="10">
        <v>9515</v>
      </c>
    </row>
    <row r="9544" spans="18:18" ht="13.8">
      <c r="R9544" s="10">
        <v>9516</v>
      </c>
    </row>
    <row r="9545" spans="18:18" ht="13.8">
      <c r="R9545" s="10">
        <v>9517</v>
      </c>
    </row>
    <row r="9546" spans="18:18" ht="13.8">
      <c r="R9546" s="10">
        <v>9518</v>
      </c>
    </row>
    <row r="9547" spans="18:18" ht="13.8">
      <c r="R9547" s="10">
        <v>9519</v>
      </c>
    </row>
    <row r="9548" spans="18:18" ht="13.8">
      <c r="R9548" s="10">
        <v>9520</v>
      </c>
    </row>
    <row r="9549" spans="18:18" ht="13.8">
      <c r="R9549" s="10">
        <v>9521</v>
      </c>
    </row>
    <row r="9550" spans="18:18" ht="13.8">
      <c r="R9550" s="10">
        <v>9522</v>
      </c>
    </row>
    <row r="9551" spans="18:18" ht="13.8">
      <c r="R9551" s="10">
        <v>9523</v>
      </c>
    </row>
    <row r="9552" spans="18:18" ht="13.8">
      <c r="R9552" s="10">
        <v>9524</v>
      </c>
    </row>
    <row r="9553" spans="18:18" ht="13.8">
      <c r="R9553" s="10">
        <v>9525</v>
      </c>
    </row>
    <row r="9554" spans="18:18" ht="13.8">
      <c r="R9554" s="10">
        <v>9526</v>
      </c>
    </row>
    <row r="9555" spans="18:18" ht="13.8">
      <c r="R9555" s="10">
        <v>9527</v>
      </c>
    </row>
    <row r="9556" spans="18:18" ht="13.8">
      <c r="R9556" s="10">
        <v>9528</v>
      </c>
    </row>
    <row r="9557" spans="18:18" ht="13.8">
      <c r="R9557" s="10">
        <v>9529</v>
      </c>
    </row>
    <row r="9558" spans="18:18" ht="13.8">
      <c r="R9558" s="10">
        <v>9530</v>
      </c>
    </row>
    <row r="9559" spans="18:18" ht="13.8">
      <c r="R9559" s="10">
        <v>9531</v>
      </c>
    </row>
    <row r="9560" spans="18:18" ht="13.8">
      <c r="R9560" s="10">
        <v>9532</v>
      </c>
    </row>
    <row r="9561" spans="18:18" ht="13.8">
      <c r="R9561" s="10">
        <v>9533</v>
      </c>
    </row>
    <row r="9562" spans="18:18" ht="13.8">
      <c r="R9562" s="10">
        <v>9534</v>
      </c>
    </row>
    <row r="9563" spans="18:18" ht="13.8">
      <c r="R9563" s="10">
        <v>9535</v>
      </c>
    </row>
    <row r="9564" spans="18:18" ht="13.8">
      <c r="R9564" s="10">
        <v>9536</v>
      </c>
    </row>
    <row r="9565" spans="18:18" ht="13.8">
      <c r="R9565" s="10">
        <v>9537</v>
      </c>
    </row>
    <row r="9566" spans="18:18" ht="13.8">
      <c r="R9566" s="10">
        <v>9538</v>
      </c>
    </row>
    <row r="9567" spans="18:18" ht="13.8">
      <c r="R9567" s="10">
        <v>9539</v>
      </c>
    </row>
    <row r="9568" spans="18:18" ht="13.8">
      <c r="R9568" s="10">
        <v>9540</v>
      </c>
    </row>
    <row r="9569" spans="18:18" ht="13.8">
      <c r="R9569" s="10">
        <v>9541</v>
      </c>
    </row>
    <row r="9570" spans="18:18" ht="13.8">
      <c r="R9570" s="10">
        <v>9542</v>
      </c>
    </row>
    <row r="9571" spans="18:18" ht="13.8">
      <c r="R9571" s="10">
        <v>9543</v>
      </c>
    </row>
    <row r="9572" spans="18:18" ht="13.8">
      <c r="R9572" s="10">
        <v>9544</v>
      </c>
    </row>
    <row r="9573" spans="18:18" ht="13.8">
      <c r="R9573" s="10">
        <v>9545</v>
      </c>
    </row>
    <row r="9574" spans="18:18" ht="13.8">
      <c r="R9574" s="10">
        <v>9546</v>
      </c>
    </row>
    <row r="9575" spans="18:18" ht="13.8">
      <c r="R9575" s="10">
        <v>9547</v>
      </c>
    </row>
    <row r="9576" spans="18:18" ht="13.8">
      <c r="R9576" s="10">
        <v>9548</v>
      </c>
    </row>
    <row r="9577" spans="18:18" ht="13.8">
      <c r="R9577" s="10">
        <v>9549</v>
      </c>
    </row>
    <row r="9578" spans="18:18" ht="13.8">
      <c r="R9578" s="10">
        <v>9550</v>
      </c>
    </row>
    <row r="9579" spans="18:18" ht="13.8">
      <c r="R9579" s="10">
        <v>9551</v>
      </c>
    </row>
    <row r="9580" spans="18:18" ht="13.8">
      <c r="R9580" s="10">
        <v>9552</v>
      </c>
    </row>
    <row r="9581" spans="18:18" ht="13.8">
      <c r="R9581" s="10">
        <v>9553</v>
      </c>
    </row>
    <row r="9582" spans="18:18" ht="13.8">
      <c r="R9582" s="10">
        <v>9554</v>
      </c>
    </row>
    <row r="9583" spans="18:18" ht="13.8">
      <c r="R9583" s="10">
        <v>9555</v>
      </c>
    </row>
    <row r="9584" spans="18:18" ht="13.8">
      <c r="R9584" s="10">
        <v>9556</v>
      </c>
    </row>
    <row r="9585" spans="18:18" ht="13.8">
      <c r="R9585" s="10">
        <v>9557</v>
      </c>
    </row>
    <row r="9586" spans="18:18" ht="13.8">
      <c r="R9586" s="10">
        <v>9558</v>
      </c>
    </row>
    <row r="9587" spans="18:18" ht="13.8">
      <c r="R9587" s="10">
        <v>9559</v>
      </c>
    </row>
    <row r="9588" spans="18:18" ht="13.8">
      <c r="R9588" s="10">
        <v>9560</v>
      </c>
    </row>
    <row r="9589" spans="18:18" ht="13.8">
      <c r="R9589" s="10">
        <v>9561</v>
      </c>
    </row>
    <row r="9590" spans="18:18" ht="13.8">
      <c r="R9590" s="10">
        <v>9562</v>
      </c>
    </row>
    <row r="9591" spans="18:18" ht="13.8">
      <c r="R9591" s="10">
        <v>9563</v>
      </c>
    </row>
    <row r="9592" spans="18:18" ht="13.8">
      <c r="R9592" s="10">
        <v>9564</v>
      </c>
    </row>
    <row r="9593" spans="18:18" ht="13.8">
      <c r="R9593" s="10">
        <v>9565</v>
      </c>
    </row>
    <row r="9594" spans="18:18" ht="13.8">
      <c r="R9594" s="10">
        <v>9566</v>
      </c>
    </row>
    <row r="9595" spans="18:18" ht="13.8">
      <c r="R9595" s="10">
        <v>9567</v>
      </c>
    </row>
    <row r="9596" spans="18:18" ht="13.8">
      <c r="R9596" s="10">
        <v>9568</v>
      </c>
    </row>
    <row r="9597" spans="18:18" ht="13.8">
      <c r="R9597" s="10">
        <v>9569</v>
      </c>
    </row>
    <row r="9598" spans="18:18" ht="13.8">
      <c r="R9598" s="10">
        <v>9570</v>
      </c>
    </row>
    <row r="9599" spans="18:18" ht="13.8">
      <c r="R9599" s="10">
        <v>9571</v>
      </c>
    </row>
    <row r="9600" spans="18:18" ht="13.8">
      <c r="R9600" s="10">
        <v>9572</v>
      </c>
    </row>
    <row r="9601" spans="18:18" ht="13.8">
      <c r="R9601" s="10">
        <v>9573</v>
      </c>
    </row>
    <row r="9602" spans="18:18" ht="13.8">
      <c r="R9602" s="10">
        <v>9574</v>
      </c>
    </row>
    <row r="9603" spans="18:18" ht="13.8">
      <c r="R9603" s="10">
        <v>9575</v>
      </c>
    </row>
    <row r="9604" spans="18:18" ht="13.8">
      <c r="R9604" s="10">
        <v>9576</v>
      </c>
    </row>
    <row r="9605" spans="18:18" ht="13.8">
      <c r="R9605" s="10">
        <v>9577</v>
      </c>
    </row>
    <row r="9606" spans="18:18" ht="13.8">
      <c r="R9606" s="10">
        <v>9578</v>
      </c>
    </row>
    <row r="9607" spans="18:18" ht="13.8">
      <c r="R9607" s="10">
        <v>9579</v>
      </c>
    </row>
    <row r="9608" spans="18:18" ht="13.8">
      <c r="R9608" s="10">
        <v>9580</v>
      </c>
    </row>
    <row r="9609" spans="18:18" ht="13.8">
      <c r="R9609" s="10">
        <v>9581</v>
      </c>
    </row>
    <row r="9610" spans="18:18" ht="13.8">
      <c r="R9610" s="10">
        <v>9582</v>
      </c>
    </row>
    <row r="9611" spans="18:18" ht="13.8">
      <c r="R9611" s="10">
        <v>9583</v>
      </c>
    </row>
    <row r="9612" spans="18:18" ht="13.8">
      <c r="R9612" s="10">
        <v>9584</v>
      </c>
    </row>
    <row r="9613" spans="18:18" ht="13.8">
      <c r="R9613" s="10">
        <v>9585</v>
      </c>
    </row>
    <row r="9614" spans="18:18" ht="13.8">
      <c r="R9614" s="10">
        <v>9586</v>
      </c>
    </row>
    <row r="9615" spans="18:18" ht="13.8">
      <c r="R9615" s="10">
        <v>9587</v>
      </c>
    </row>
    <row r="9616" spans="18:18" ht="13.8">
      <c r="R9616" s="10">
        <v>9588</v>
      </c>
    </row>
    <row r="9617" spans="18:18" ht="13.8">
      <c r="R9617" s="10">
        <v>9589</v>
      </c>
    </row>
    <row r="9618" spans="18:18" ht="13.8">
      <c r="R9618" s="10">
        <v>9590</v>
      </c>
    </row>
    <row r="9619" spans="18:18" ht="13.8">
      <c r="R9619" s="10">
        <v>9591</v>
      </c>
    </row>
    <row r="9620" spans="18:18" ht="13.8">
      <c r="R9620" s="10">
        <v>9592</v>
      </c>
    </row>
    <row r="9621" spans="18:18" ht="13.8">
      <c r="R9621" s="10">
        <v>9593</v>
      </c>
    </row>
    <row r="9622" spans="18:18" ht="13.8">
      <c r="R9622" s="10">
        <v>9594</v>
      </c>
    </row>
    <row r="9623" spans="18:18" ht="13.8">
      <c r="R9623" s="10">
        <v>9595</v>
      </c>
    </row>
    <row r="9624" spans="18:18" ht="13.8">
      <c r="R9624" s="10">
        <v>9596</v>
      </c>
    </row>
    <row r="9625" spans="18:18" ht="13.8">
      <c r="R9625" s="10">
        <v>9597</v>
      </c>
    </row>
    <row r="9626" spans="18:18" ht="13.8">
      <c r="R9626" s="10">
        <v>9598</v>
      </c>
    </row>
    <row r="9627" spans="18:18" ht="13.8">
      <c r="R9627" s="10">
        <v>9599</v>
      </c>
    </row>
    <row r="9628" spans="18:18" ht="13.8">
      <c r="R9628" s="10">
        <v>9600</v>
      </c>
    </row>
    <row r="9629" spans="18:18" ht="13.8">
      <c r="R9629" s="10">
        <v>9601</v>
      </c>
    </row>
    <row r="9630" spans="18:18" ht="13.8">
      <c r="R9630" s="10">
        <v>9602</v>
      </c>
    </row>
    <row r="9631" spans="18:18" ht="13.8">
      <c r="R9631" s="10">
        <v>9603</v>
      </c>
    </row>
    <row r="9632" spans="18:18" ht="13.8">
      <c r="R9632" s="10">
        <v>9604</v>
      </c>
    </row>
    <row r="9633" spans="18:18" ht="13.8">
      <c r="R9633" s="10">
        <v>9605</v>
      </c>
    </row>
    <row r="9634" spans="18:18" ht="13.8">
      <c r="R9634" s="10">
        <v>9606</v>
      </c>
    </row>
    <row r="9635" spans="18:18" ht="13.8">
      <c r="R9635" s="10">
        <v>9607</v>
      </c>
    </row>
    <row r="9636" spans="18:18" ht="13.8">
      <c r="R9636" s="10">
        <v>9608</v>
      </c>
    </row>
    <row r="9637" spans="18:18" ht="13.8">
      <c r="R9637" s="10">
        <v>9609</v>
      </c>
    </row>
    <row r="9638" spans="18:18" ht="13.8">
      <c r="R9638" s="10">
        <v>9610</v>
      </c>
    </row>
    <row r="9639" spans="18:18" ht="13.8">
      <c r="R9639" s="10">
        <v>9611</v>
      </c>
    </row>
    <row r="9640" spans="18:18" ht="13.8">
      <c r="R9640" s="10">
        <v>9612</v>
      </c>
    </row>
    <row r="9641" spans="18:18" ht="13.8">
      <c r="R9641" s="10">
        <v>9613</v>
      </c>
    </row>
    <row r="9642" spans="18:18" ht="13.8">
      <c r="R9642" s="10">
        <v>9614</v>
      </c>
    </row>
    <row r="9643" spans="18:18" ht="13.8">
      <c r="R9643" s="10">
        <v>9615</v>
      </c>
    </row>
    <row r="9644" spans="18:18" ht="13.8">
      <c r="R9644" s="10">
        <v>9616</v>
      </c>
    </row>
    <row r="9645" spans="18:18" ht="13.8">
      <c r="R9645" s="10">
        <v>9617</v>
      </c>
    </row>
    <row r="9646" spans="18:18" ht="13.8">
      <c r="R9646" s="10">
        <v>9618</v>
      </c>
    </row>
    <row r="9647" spans="18:18" ht="13.8">
      <c r="R9647" s="10">
        <v>9619</v>
      </c>
    </row>
    <row r="9648" spans="18:18" ht="13.8">
      <c r="R9648" s="10">
        <v>9620</v>
      </c>
    </row>
    <row r="9649" spans="18:18" ht="13.8">
      <c r="R9649" s="10">
        <v>9621</v>
      </c>
    </row>
    <row r="9650" spans="18:18" ht="13.8">
      <c r="R9650" s="10">
        <v>9622</v>
      </c>
    </row>
    <row r="9651" spans="18:18" ht="13.8">
      <c r="R9651" s="10">
        <v>9623</v>
      </c>
    </row>
    <row r="9652" spans="18:18" ht="13.8">
      <c r="R9652" s="10">
        <v>9624</v>
      </c>
    </row>
    <row r="9653" spans="18:18" ht="13.8">
      <c r="R9653" s="10">
        <v>9625</v>
      </c>
    </row>
    <row r="9654" spans="18:18" ht="13.8">
      <c r="R9654" s="10">
        <v>9626</v>
      </c>
    </row>
    <row r="9655" spans="18:18" ht="13.8">
      <c r="R9655" s="10">
        <v>9627</v>
      </c>
    </row>
    <row r="9656" spans="18:18" ht="13.8">
      <c r="R9656" s="10">
        <v>9628</v>
      </c>
    </row>
    <row r="9657" spans="18:18" ht="13.8">
      <c r="R9657" s="10">
        <v>9629</v>
      </c>
    </row>
    <row r="9658" spans="18:18" ht="13.8">
      <c r="R9658" s="10">
        <v>9630</v>
      </c>
    </row>
    <row r="9659" spans="18:18" ht="13.8">
      <c r="R9659" s="10">
        <v>9631</v>
      </c>
    </row>
    <row r="9660" spans="18:18" ht="13.8">
      <c r="R9660" s="10">
        <v>9632</v>
      </c>
    </row>
    <row r="9661" spans="18:18" ht="13.8">
      <c r="R9661" s="10">
        <v>9633</v>
      </c>
    </row>
    <row r="9662" spans="18:18" ht="13.8">
      <c r="R9662" s="10">
        <v>9634</v>
      </c>
    </row>
    <row r="9663" spans="18:18" ht="13.8">
      <c r="R9663" s="10">
        <v>9635</v>
      </c>
    </row>
    <row r="9664" spans="18:18" ht="13.8">
      <c r="R9664" s="10">
        <v>9636</v>
      </c>
    </row>
    <row r="9665" spans="18:18" ht="13.8">
      <c r="R9665" s="10">
        <v>9637</v>
      </c>
    </row>
    <row r="9666" spans="18:18" ht="13.8">
      <c r="R9666" s="10">
        <v>9638</v>
      </c>
    </row>
    <row r="9667" spans="18:18" ht="13.8">
      <c r="R9667" s="10">
        <v>9639</v>
      </c>
    </row>
    <row r="9668" spans="18:18" ht="13.8">
      <c r="R9668" s="10">
        <v>9640</v>
      </c>
    </row>
    <row r="9669" spans="18:18" ht="13.8">
      <c r="R9669" s="10">
        <v>9641</v>
      </c>
    </row>
    <row r="9670" spans="18:18" ht="13.8">
      <c r="R9670" s="10">
        <v>9642</v>
      </c>
    </row>
    <row r="9671" spans="18:18" ht="13.8">
      <c r="R9671" s="10">
        <v>9643</v>
      </c>
    </row>
    <row r="9672" spans="18:18" ht="13.8">
      <c r="R9672" s="10">
        <v>9644</v>
      </c>
    </row>
    <row r="9673" spans="18:18" ht="13.8">
      <c r="R9673" s="10">
        <v>9645</v>
      </c>
    </row>
    <row r="9674" spans="18:18" ht="13.8">
      <c r="R9674" s="10">
        <v>9646</v>
      </c>
    </row>
    <row r="9675" spans="18:18" ht="13.8">
      <c r="R9675" s="10">
        <v>9647</v>
      </c>
    </row>
    <row r="9676" spans="18:18" ht="13.8">
      <c r="R9676" s="10">
        <v>9648</v>
      </c>
    </row>
    <row r="9677" spans="18:18" ht="13.8">
      <c r="R9677" s="10">
        <v>9649</v>
      </c>
    </row>
    <row r="9678" spans="18:18" ht="13.8">
      <c r="R9678" s="10">
        <v>9650</v>
      </c>
    </row>
    <row r="9679" spans="18:18" ht="13.8">
      <c r="R9679" s="10">
        <v>9651</v>
      </c>
    </row>
    <row r="9680" spans="18:18" ht="13.8">
      <c r="R9680" s="10">
        <v>9652</v>
      </c>
    </row>
    <row r="9681" spans="18:18" ht="13.8">
      <c r="R9681" s="10">
        <v>9653</v>
      </c>
    </row>
    <row r="9682" spans="18:18" ht="13.8">
      <c r="R9682" s="10">
        <v>9654</v>
      </c>
    </row>
    <row r="9683" spans="18:18" ht="13.8">
      <c r="R9683" s="10">
        <v>9655</v>
      </c>
    </row>
    <row r="9684" spans="18:18" ht="13.8">
      <c r="R9684" s="10">
        <v>9656</v>
      </c>
    </row>
    <row r="9685" spans="18:18" ht="13.8">
      <c r="R9685" s="10">
        <v>9657</v>
      </c>
    </row>
    <row r="9686" spans="18:18" ht="13.8">
      <c r="R9686" s="10">
        <v>9658</v>
      </c>
    </row>
    <row r="9687" spans="18:18" ht="13.8">
      <c r="R9687" s="10">
        <v>9659</v>
      </c>
    </row>
    <row r="9688" spans="18:18" ht="13.8">
      <c r="R9688" s="10">
        <v>9660</v>
      </c>
    </row>
    <row r="9689" spans="18:18" ht="13.8">
      <c r="R9689" s="10">
        <v>9661</v>
      </c>
    </row>
    <row r="9690" spans="18:18" ht="13.8">
      <c r="R9690" s="10">
        <v>9662</v>
      </c>
    </row>
    <row r="9691" spans="18:18" ht="13.8">
      <c r="R9691" s="10">
        <v>9663</v>
      </c>
    </row>
    <row r="9692" spans="18:18" ht="13.8">
      <c r="R9692" s="10">
        <v>9664</v>
      </c>
    </row>
    <row r="9693" spans="18:18" ht="13.8">
      <c r="R9693" s="10">
        <v>9665</v>
      </c>
    </row>
    <row r="9694" spans="18:18" ht="13.8">
      <c r="R9694" s="10">
        <v>9666</v>
      </c>
    </row>
    <row r="9695" spans="18:18" ht="13.8">
      <c r="R9695" s="10">
        <v>9667</v>
      </c>
    </row>
    <row r="9696" spans="18:18" ht="13.8">
      <c r="R9696" s="10">
        <v>9668</v>
      </c>
    </row>
    <row r="9697" spans="18:18" ht="13.8">
      <c r="R9697" s="10">
        <v>9669</v>
      </c>
    </row>
    <row r="9698" spans="18:18" ht="13.8">
      <c r="R9698" s="10">
        <v>9670</v>
      </c>
    </row>
    <row r="9699" spans="18:18" ht="13.8">
      <c r="R9699" s="10">
        <v>9671</v>
      </c>
    </row>
    <row r="9700" spans="18:18" ht="13.8">
      <c r="R9700" s="10">
        <v>9672</v>
      </c>
    </row>
    <row r="9701" spans="18:18" ht="13.8">
      <c r="R9701" s="10">
        <v>9673</v>
      </c>
    </row>
    <row r="9702" spans="18:18" ht="13.8">
      <c r="R9702" s="10">
        <v>9674</v>
      </c>
    </row>
    <row r="9703" spans="18:18" ht="13.8">
      <c r="R9703" s="10">
        <v>9675</v>
      </c>
    </row>
    <row r="9704" spans="18:18" ht="13.8">
      <c r="R9704" s="10">
        <v>9676</v>
      </c>
    </row>
    <row r="9705" spans="18:18" ht="13.8">
      <c r="R9705" s="10">
        <v>9677</v>
      </c>
    </row>
    <row r="9706" spans="18:18" ht="13.8">
      <c r="R9706" s="10">
        <v>9678</v>
      </c>
    </row>
    <row r="9707" spans="18:18" ht="13.8">
      <c r="R9707" s="10">
        <v>9679</v>
      </c>
    </row>
    <row r="9708" spans="18:18" ht="13.8">
      <c r="R9708" s="10">
        <v>9680</v>
      </c>
    </row>
    <row r="9709" spans="18:18" ht="13.8">
      <c r="R9709" s="10">
        <v>9681</v>
      </c>
    </row>
    <row r="9710" spans="18:18" ht="13.8">
      <c r="R9710" s="10">
        <v>9682</v>
      </c>
    </row>
    <row r="9711" spans="18:18" ht="13.8">
      <c r="R9711" s="10">
        <v>9683</v>
      </c>
    </row>
    <row r="9712" spans="18:18" ht="13.8">
      <c r="R9712" s="10">
        <v>9684</v>
      </c>
    </row>
    <row r="9713" spans="18:18" ht="13.8">
      <c r="R9713" s="10">
        <v>9685</v>
      </c>
    </row>
    <row r="9714" spans="18:18" ht="13.8">
      <c r="R9714" s="10">
        <v>9686</v>
      </c>
    </row>
    <row r="9715" spans="18:18" ht="13.8">
      <c r="R9715" s="10">
        <v>9687</v>
      </c>
    </row>
    <row r="9716" spans="18:18" ht="13.8">
      <c r="R9716" s="10">
        <v>9688</v>
      </c>
    </row>
    <row r="9717" spans="18:18" ht="13.8">
      <c r="R9717" s="10">
        <v>9689</v>
      </c>
    </row>
    <row r="9718" spans="18:18" ht="13.8">
      <c r="R9718" s="10">
        <v>9690</v>
      </c>
    </row>
    <row r="9719" spans="18:18" ht="13.8">
      <c r="R9719" s="10">
        <v>9691</v>
      </c>
    </row>
    <row r="9720" spans="18:18" ht="13.8">
      <c r="R9720" s="10">
        <v>9692</v>
      </c>
    </row>
    <row r="9721" spans="18:18" ht="13.8">
      <c r="R9721" s="10">
        <v>9693</v>
      </c>
    </row>
    <row r="9722" spans="18:18" ht="13.8">
      <c r="R9722" s="10">
        <v>9694</v>
      </c>
    </row>
    <row r="9723" spans="18:18" ht="13.8">
      <c r="R9723" s="10">
        <v>9695</v>
      </c>
    </row>
    <row r="9724" spans="18:18" ht="13.8">
      <c r="R9724" s="10">
        <v>9696</v>
      </c>
    </row>
    <row r="9725" spans="18:18" ht="13.8">
      <c r="R9725" s="10">
        <v>9697</v>
      </c>
    </row>
    <row r="9726" spans="18:18" ht="13.8">
      <c r="R9726" s="10">
        <v>9698</v>
      </c>
    </row>
    <row r="9727" spans="18:18" ht="13.8">
      <c r="R9727" s="10">
        <v>9699</v>
      </c>
    </row>
    <row r="9728" spans="18:18" ht="13.8">
      <c r="R9728" s="10">
        <v>9700</v>
      </c>
    </row>
    <row r="9729" spans="18:18" ht="13.8">
      <c r="R9729" s="10">
        <v>9701</v>
      </c>
    </row>
    <row r="9730" spans="18:18" ht="13.8">
      <c r="R9730" s="10">
        <v>9702</v>
      </c>
    </row>
    <row r="9731" spans="18:18" ht="13.8">
      <c r="R9731" s="10">
        <v>9703</v>
      </c>
    </row>
    <row r="9732" spans="18:18" ht="13.8">
      <c r="R9732" s="10">
        <v>9704</v>
      </c>
    </row>
    <row r="9733" spans="18:18" ht="13.8">
      <c r="R9733" s="10">
        <v>9705</v>
      </c>
    </row>
    <row r="9734" spans="18:18" ht="13.8">
      <c r="R9734" s="10">
        <v>9706</v>
      </c>
    </row>
    <row r="9735" spans="18:18" ht="13.8">
      <c r="R9735" s="10">
        <v>9707</v>
      </c>
    </row>
    <row r="9736" spans="18:18" ht="13.8">
      <c r="R9736" s="10">
        <v>9708</v>
      </c>
    </row>
    <row r="9737" spans="18:18" ht="13.8">
      <c r="R9737" s="10">
        <v>9709</v>
      </c>
    </row>
    <row r="9738" spans="18:18" ht="13.8">
      <c r="R9738" s="10">
        <v>9710</v>
      </c>
    </row>
    <row r="9739" spans="18:18" ht="13.8">
      <c r="R9739" s="10">
        <v>9711</v>
      </c>
    </row>
    <row r="9740" spans="18:18" ht="13.8">
      <c r="R9740" s="10">
        <v>9712</v>
      </c>
    </row>
    <row r="9741" spans="18:18" ht="13.8">
      <c r="R9741" s="10">
        <v>9713</v>
      </c>
    </row>
    <row r="9742" spans="18:18" ht="13.8">
      <c r="R9742" s="10">
        <v>9714</v>
      </c>
    </row>
    <row r="9743" spans="18:18" ht="13.8">
      <c r="R9743" s="10">
        <v>9715</v>
      </c>
    </row>
    <row r="9744" spans="18:18" ht="13.8">
      <c r="R9744" s="10">
        <v>9716</v>
      </c>
    </row>
    <row r="9745" spans="18:18" ht="13.8">
      <c r="R9745" s="10">
        <v>9717</v>
      </c>
    </row>
    <row r="9746" spans="18:18" ht="13.8">
      <c r="R9746" s="10">
        <v>9718</v>
      </c>
    </row>
    <row r="9747" spans="18:18" ht="13.8">
      <c r="R9747" s="10">
        <v>9719</v>
      </c>
    </row>
    <row r="9748" spans="18:18" ht="13.8">
      <c r="R9748" s="10">
        <v>9720</v>
      </c>
    </row>
    <row r="9749" spans="18:18" ht="13.8">
      <c r="R9749" s="10">
        <v>9721</v>
      </c>
    </row>
    <row r="9750" spans="18:18" ht="13.8">
      <c r="R9750" s="10">
        <v>9722</v>
      </c>
    </row>
    <row r="9751" spans="18:18" ht="13.8">
      <c r="R9751" s="10">
        <v>9723</v>
      </c>
    </row>
    <row r="9752" spans="18:18" ht="13.8">
      <c r="R9752" s="10">
        <v>9724</v>
      </c>
    </row>
    <row r="9753" spans="18:18" ht="13.8">
      <c r="R9753" s="10">
        <v>9725</v>
      </c>
    </row>
    <row r="9754" spans="18:18" ht="13.8">
      <c r="R9754" s="10">
        <v>9726</v>
      </c>
    </row>
    <row r="9755" spans="18:18" ht="13.8">
      <c r="R9755" s="10">
        <v>9727</v>
      </c>
    </row>
    <row r="9756" spans="18:18" ht="13.8">
      <c r="R9756" s="10">
        <v>9728</v>
      </c>
    </row>
    <row r="9757" spans="18:18" ht="13.8">
      <c r="R9757" s="10">
        <v>9729</v>
      </c>
    </row>
    <row r="9758" spans="18:18" ht="13.8">
      <c r="R9758" s="10">
        <v>9730</v>
      </c>
    </row>
    <row r="9759" spans="18:18" ht="13.8">
      <c r="R9759" s="10">
        <v>9731</v>
      </c>
    </row>
    <row r="9760" spans="18:18" ht="13.8">
      <c r="R9760" s="10">
        <v>9732</v>
      </c>
    </row>
    <row r="9761" spans="18:18" ht="13.8">
      <c r="R9761" s="10">
        <v>9733</v>
      </c>
    </row>
    <row r="9762" spans="18:18" ht="13.8">
      <c r="R9762" s="10">
        <v>9734</v>
      </c>
    </row>
    <row r="9763" spans="18:18" ht="13.8">
      <c r="R9763" s="10">
        <v>9735</v>
      </c>
    </row>
    <row r="9764" spans="18:18" ht="13.8">
      <c r="R9764" s="10">
        <v>9736</v>
      </c>
    </row>
    <row r="9765" spans="18:18" ht="13.8">
      <c r="R9765" s="10">
        <v>9737</v>
      </c>
    </row>
    <row r="9766" spans="18:18" ht="13.8">
      <c r="R9766" s="10">
        <v>9738</v>
      </c>
    </row>
    <row r="9767" spans="18:18" ht="13.8">
      <c r="R9767" s="10">
        <v>9739</v>
      </c>
    </row>
    <row r="9768" spans="18:18" ht="13.8">
      <c r="R9768" s="10">
        <v>9740</v>
      </c>
    </row>
    <row r="9769" spans="18:18" ht="13.8">
      <c r="R9769" s="10">
        <v>9741</v>
      </c>
    </row>
    <row r="9770" spans="18:18" ht="13.8">
      <c r="R9770" s="10">
        <v>9742</v>
      </c>
    </row>
    <row r="9771" spans="18:18" ht="13.8">
      <c r="R9771" s="10">
        <v>9743</v>
      </c>
    </row>
    <row r="9772" spans="18:18" ht="13.8">
      <c r="R9772" s="10">
        <v>9744</v>
      </c>
    </row>
    <row r="9773" spans="18:18" ht="13.8">
      <c r="R9773" s="10">
        <v>9745</v>
      </c>
    </row>
    <row r="9774" spans="18:18" ht="13.8">
      <c r="R9774" s="10">
        <v>9746</v>
      </c>
    </row>
    <row r="9775" spans="18:18" ht="13.8">
      <c r="R9775" s="10">
        <v>9747</v>
      </c>
    </row>
    <row r="9776" spans="18:18" ht="13.8">
      <c r="R9776" s="10">
        <v>9748</v>
      </c>
    </row>
    <row r="9777" spans="18:18" ht="13.8">
      <c r="R9777" s="10">
        <v>9749</v>
      </c>
    </row>
    <row r="9778" spans="18:18" ht="13.8">
      <c r="R9778" s="10">
        <v>9750</v>
      </c>
    </row>
    <row r="9779" spans="18:18" ht="13.8">
      <c r="R9779" s="10">
        <v>9751</v>
      </c>
    </row>
    <row r="9780" spans="18:18" ht="13.8">
      <c r="R9780" s="10">
        <v>9752</v>
      </c>
    </row>
    <row r="9781" spans="18:18" ht="13.8">
      <c r="R9781" s="10">
        <v>9753</v>
      </c>
    </row>
    <row r="9782" spans="18:18" ht="13.8">
      <c r="R9782" s="10">
        <v>9754</v>
      </c>
    </row>
    <row r="9783" spans="18:18" ht="13.8">
      <c r="R9783" s="10">
        <v>9755</v>
      </c>
    </row>
    <row r="9784" spans="18:18" ht="13.8">
      <c r="R9784" s="10">
        <v>9756</v>
      </c>
    </row>
    <row r="9785" spans="18:18" ht="13.8">
      <c r="R9785" s="10">
        <v>9757</v>
      </c>
    </row>
    <row r="9786" spans="18:18" ht="13.8">
      <c r="R9786" s="10">
        <v>9758</v>
      </c>
    </row>
    <row r="9787" spans="18:18" ht="13.8">
      <c r="R9787" s="10">
        <v>9759</v>
      </c>
    </row>
    <row r="9788" spans="18:18" ht="13.8">
      <c r="R9788" s="10">
        <v>9760</v>
      </c>
    </row>
    <row r="9789" spans="18:18" ht="13.8">
      <c r="R9789" s="10">
        <v>9761</v>
      </c>
    </row>
    <row r="9790" spans="18:18" ht="13.8">
      <c r="R9790" s="10">
        <v>9762</v>
      </c>
    </row>
    <row r="9791" spans="18:18" ht="13.8">
      <c r="R9791" s="10">
        <v>9763</v>
      </c>
    </row>
    <row r="9792" spans="18:18" ht="13.8">
      <c r="R9792" s="10">
        <v>9764</v>
      </c>
    </row>
    <row r="9793" spans="18:18" ht="13.8">
      <c r="R9793" s="10">
        <v>9765</v>
      </c>
    </row>
    <row r="9794" spans="18:18" ht="13.8">
      <c r="R9794" s="10">
        <v>9766</v>
      </c>
    </row>
    <row r="9795" spans="18:18" ht="13.8">
      <c r="R9795" s="10">
        <v>9767</v>
      </c>
    </row>
    <row r="9796" spans="18:18" ht="13.8">
      <c r="R9796" s="10">
        <v>9768</v>
      </c>
    </row>
    <row r="9797" spans="18:18" ht="13.8">
      <c r="R9797" s="10">
        <v>9769</v>
      </c>
    </row>
    <row r="9798" spans="18:18" ht="13.8">
      <c r="R9798" s="10">
        <v>9770</v>
      </c>
    </row>
    <row r="9799" spans="18:18" ht="13.8">
      <c r="R9799" s="10">
        <v>9771</v>
      </c>
    </row>
    <row r="9800" spans="18:18" ht="13.8">
      <c r="R9800" s="10">
        <v>9772</v>
      </c>
    </row>
    <row r="9801" spans="18:18" ht="13.8">
      <c r="R9801" s="10">
        <v>9773</v>
      </c>
    </row>
    <row r="9802" spans="18:18" ht="13.8">
      <c r="R9802" s="10">
        <v>9774</v>
      </c>
    </row>
    <row r="9803" spans="18:18" ht="13.8">
      <c r="R9803" s="10">
        <v>9775</v>
      </c>
    </row>
    <row r="9804" spans="18:18" ht="13.8">
      <c r="R9804" s="10">
        <v>9776</v>
      </c>
    </row>
    <row r="9805" spans="18:18" ht="13.8">
      <c r="R9805" s="10">
        <v>9777</v>
      </c>
    </row>
    <row r="9806" spans="18:18" ht="13.8">
      <c r="R9806" s="10">
        <v>9778</v>
      </c>
    </row>
    <row r="9807" spans="18:18" ht="13.8">
      <c r="R9807" s="10">
        <v>9779</v>
      </c>
    </row>
    <row r="9808" spans="18:18" ht="13.8">
      <c r="R9808" s="10">
        <v>9780</v>
      </c>
    </row>
    <row r="9809" spans="18:18" ht="13.8">
      <c r="R9809" s="10">
        <v>9781</v>
      </c>
    </row>
    <row r="9810" spans="18:18" ht="13.8">
      <c r="R9810" s="10">
        <v>9782</v>
      </c>
    </row>
    <row r="9811" spans="18:18" ht="13.8">
      <c r="R9811" s="10">
        <v>9783</v>
      </c>
    </row>
    <row r="9812" spans="18:18" ht="13.8">
      <c r="R9812" s="10">
        <v>9784</v>
      </c>
    </row>
    <row r="9813" spans="18:18" ht="13.8">
      <c r="R9813" s="10">
        <v>9785</v>
      </c>
    </row>
    <row r="9814" spans="18:18" ht="13.8">
      <c r="R9814" s="10">
        <v>9786</v>
      </c>
    </row>
    <row r="9815" spans="18:18" ht="13.8">
      <c r="R9815" s="10">
        <v>9787</v>
      </c>
    </row>
    <row r="9816" spans="18:18" ht="13.8">
      <c r="R9816" s="10">
        <v>9788</v>
      </c>
    </row>
    <row r="9817" spans="18:18" ht="13.8">
      <c r="R9817" s="10">
        <v>9789</v>
      </c>
    </row>
    <row r="9818" spans="18:18" ht="13.8">
      <c r="R9818" s="10">
        <v>9790</v>
      </c>
    </row>
    <row r="9819" spans="18:18" ht="13.8">
      <c r="R9819" s="10">
        <v>9791</v>
      </c>
    </row>
    <row r="9820" spans="18:18" ht="13.8">
      <c r="R9820" s="10">
        <v>9792</v>
      </c>
    </row>
    <row r="9821" spans="18:18" ht="13.8">
      <c r="R9821" s="10">
        <v>9793</v>
      </c>
    </row>
    <row r="9822" spans="18:18" ht="13.8">
      <c r="R9822" s="10">
        <v>9794</v>
      </c>
    </row>
    <row r="9823" spans="18:18" ht="13.8">
      <c r="R9823" s="10">
        <v>9795</v>
      </c>
    </row>
    <row r="9824" spans="18:18" ht="13.8">
      <c r="R9824" s="10">
        <v>9796</v>
      </c>
    </row>
    <row r="9825" spans="18:18" ht="13.8">
      <c r="R9825" s="10">
        <v>9797</v>
      </c>
    </row>
    <row r="9826" spans="18:18" ht="13.8">
      <c r="R9826" s="10">
        <v>9798</v>
      </c>
    </row>
    <row r="9827" spans="18:18" ht="13.8">
      <c r="R9827" s="10">
        <v>9799</v>
      </c>
    </row>
    <row r="9828" spans="18:18" ht="13.8">
      <c r="R9828" s="10">
        <v>9800</v>
      </c>
    </row>
    <row r="9829" spans="18:18" ht="13.8">
      <c r="R9829" s="10">
        <v>9801</v>
      </c>
    </row>
    <row r="9830" spans="18:18" ht="13.8">
      <c r="R9830" s="10">
        <v>9802</v>
      </c>
    </row>
    <row r="9831" spans="18:18" ht="13.8">
      <c r="R9831" s="10">
        <v>9803</v>
      </c>
    </row>
    <row r="9832" spans="18:18" ht="13.8">
      <c r="R9832" s="10">
        <v>9804</v>
      </c>
    </row>
    <row r="9833" spans="18:18" ht="13.8">
      <c r="R9833" s="10">
        <v>9805</v>
      </c>
    </row>
    <row r="9834" spans="18:18" ht="13.8">
      <c r="R9834" s="10">
        <v>9806</v>
      </c>
    </row>
    <row r="9835" spans="18:18" ht="13.8">
      <c r="R9835" s="10">
        <v>9807</v>
      </c>
    </row>
    <row r="9836" spans="18:18" ht="13.8">
      <c r="R9836" s="10">
        <v>9808</v>
      </c>
    </row>
    <row r="9837" spans="18:18" ht="13.8">
      <c r="R9837" s="10">
        <v>9809</v>
      </c>
    </row>
    <row r="9838" spans="18:18" ht="13.8">
      <c r="R9838" s="10">
        <v>9810</v>
      </c>
    </row>
    <row r="9839" spans="18:18" ht="13.8">
      <c r="R9839" s="10">
        <v>9811</v>
      </c>
    </row>
    <row r="9840" spans="18:18" ht="13.8">
      <c r="R9840" s="10">
        <v>9812</v>
      </c>
    </row>
    <row r="9841" spans="18:18" ht="13.8">
      <c r="R9841" s="10">
        <v>9813</v>
      </c>
    </row>
    <row r="9842" spans="18:18" ht="13.8">
      <c r="R9842" s="10">
        <v>9814</v>
      </c>
    </row>
    <row r="9843" spans="18:18" ht="13.8">
      <c r="R9843" s="10">
        <v>9815</v>
      </c>
    </row>
    <row r="9844" spans="18:18" ht="13.8">
      <c r="R9844" s="10">
        <v>9816</v>
      </c>
    </row>
    <row r="9845" spans="18:18" ht="13.8">
      <c r="R9845" s="10">
        <v>9817</v>
      </c>
    </row>
    <row r="9846" spans="18:18" ht="13.8">
      <c r="R9846" s="10">
        <v>9818</v>
      </c>
    </row>
    <row r="9847" spans="18:18" ht="13.8">
      <c r="R9847" s="10">
        <v>9819</v>
      </c>
    </row>
    <row r="9848" spans="18:18" ht="13.8">
      <c r="R9848" s="10">
        <v>9820</v>
      </c>
    </row>
    <row r="9849" spans="18:18" ht="13.8">
      <c r="R9849" s="10">
        <v>9821</v>
      </c>
    </row>
    <row r="9850" spans="18:18" ht="13.8">
      <c r="R9850" s="10">
        <v>9822</v>
      </c>
    </row>
    <row r="9851" spans="18:18" ht="13.8">
      <c r="R9851" s="10">
        <v>9823</v>
      </c>
    </row>
    <row r="9852" spans="18:18" ht="13.8">
      <c r="R9852" s="10">
        <v>9824</v>
      </c>
    </row>
    <row r="9853" spans="18:18" ht="13.8">
      <c r="R9853" s="10">
        <v>9825</v>
      </c>
    </row>
    <row r="9854" spans="18:18" ht="13.8">
      <c r="R9854" s="10">
        <v>9826</v>
      </c>
    </row>
    <row r="9855" spans="18:18" ht="13.8">
      <c r="R9855" s="10">
        <v>9827</v>
      </c>
    </row>
    <row r="9856" spans="18:18" ht="13.8">
      <c r="R9856" s="10">
        <v>9828</v>
      </c>
    </row>
    <row r="9857" spans="18:18" ht="13.8">
      <c r="R9857" s="10">
        <v>9829</v>
      </c>
    </row>
    <row r="9858" spans="18:18" ht="13.8">
      <c r="R9858" s="10">
        <v>9830</v>
      </c>
    </row>
    <row r="9859" spans="18:18" ht="13.8">
      <c r="R9859" s="10">
        <v>9831</v>
      </c>
    </row>
    <row r="9860" spans="18:18" ht="13.8">
      <c r="R9860" s="10">
        <v>9832</v>
      </c>
    </row>
    <row r="9861" spans="18:18" ht="13.8">
      <c r="R9861" s="10">
        <v>9833</v>
      </c>
    </row>
    <row r="9862" spans="18:18" ht="13.8">
      <c r="R9862" s="10">
        <v>9834</v>
      </c>
    </row>
    <row r="9863" spans="18:18" ht="13.8">
      <c r="R9863" s="10">
        <v>9835</v>
      </c>
    </row>
    <row r="9864" spans="18:18" ht="13.8">
      <c r="R9864" s="10">
        <v>9836</v>
      </c>
    </row>
    <row r="9865" spans="18:18" ht="13.8">
      <c r="R9865" s="10">
        <v>9837</v>
      </c>
    </row>
    <row r="9866" spans="18:18" ht="13.8">
      <c r="R9866" s="10">
        <v>9838</v>
      </c>
    </row>
    <row r="9867" spans="18:18" ht="13.8">
      <c r="R9867" s="10">
        <v>9839</v>
      </c>
    </row>
    <row r="9868" spans="18:18" ht="13.8">
      <c r="R9868" s="10">
        <v>9840</v>
      </c>
    </row>
    <row r="9869" spans="18:18" ht="13.8">
      <c r="R9869" s="10">
        <v>9841</v>
      </c>
    </row>
    <row r="9870" spans="18:18" ht="13.8">
      <c r="R9870" s="10">
        <v>9842</v>
      </c>
    </row>
    <row r="9871" spans="18:18" ht="13.8">
      <c r="R9871" s="10">
        <v>9843</v>
      </c>
    </row>
    <row r="9872" spans="18:18" ht="13.8">
      <c r="R9872" s="10">
        <v>9844</v>
      </c>
    </row>
    <row r="9873" spans="18:18" ht="13.8">
      <c r="R9873" s="10">
        <v>9845</v>
      </c>
    </row>
    <row r="9874" spans="18:18" ht="13.8">
      <c r="R9874" s="10">
        <v>9846</v>
      </c>
    </row>
    <row r="9875" spans="18:18" ht="13.8">
      <c r="R9875" s="10">
        <v>9847</v>
      </c>
    </row>
    <row r="9876" spans="18:18" ht="13.8">
      <c r="R9876" s="10">
        <v>9848</v>
      </c>
    </row>
    <row r="9877" spans="18:18" ht="13.8">
      <c r="R9877" s="10">
        <v>9849</v>
      </c>
    </row>
    <row r="9878" spans="18:18" ht="13.8">
      <c r="R9878" s="10">
        <v>9850</v>
      </c>
    </row>
    <row r="9879" spans="18:18" ht="13.8">
      <c r="R9879" s="10">
        <v>9851</v>
      </c>
    </row>
    <row r="9880" spans="18:18" ht="13.8">
      <c r="R9880" s="10">
        <v>9852</v>
      </c>
    </row>
    <row r="9881" spans="18:18" ht="13.8">
      <c r="R9881" s="10">
        <v>9853</v>
      </c>
    </row>
    <row r="9882" spans="18:18" ht="13.8">
      <c r="R9882" s="10">
        <v>9854</v>
      </c>
    </row>
    <row r="9883" spans="18:18" ht="13.8">
      <c r="R9883" s="10">
        <v>9855</v>
      </c>
    </row>
    <row r="9884" spans="18:18" ht="13.8">
      <c r="R9884" s="10">
        <v>9856</v>
      </c>
    </row>
    <row r="9885" spans="18:18" ht="13.8">
      <c r="R9885" s="10">
        <v>9857</v>
      </c>
    </row>
    <row r="9886" spans="18:18" ht="13.8">
      <c r="R9886" s="10">
        <v>9858</v>
      </c>
    </row>
    <row r="9887" spans="18:18" ht="13.8">
      <c r="R9887" s="10">
        <v>9859</v>
      </c>
    </row>
    <row r="9888" spans="18:18" ht="13.8">
      <c r="R9888" s="10">
        <v>9860</v>
      </c>
    </row>
    <row r="9889" spans="18:18" ht="13.8">
      <c r="R9889" s="10">
        <v>9861</v>
      </c>
    </row>
    <row r="9890" spans="18:18" ht="13.8">
      <c r="R9890" s="10">
        <v>9862</v>
      </c>
    </row>
    <row r="9891" spans="18:18" ht="13.8">
      <c r="R9891" s="10">
        <v>9863</v>
      </c>
    </row>
    <row r="9892" spans="18:18" ht="13.8">
      <c r="R9892" s="10">
        <v>9864</v>
      </c>
    </row>
    <row r="9893" spans="18:18" ht="13.8">
      <c r="R9893" s="10">
        <v>9865</v>
      </c>
    </row>
    <row r="9894" spans="18:18" ht="13.8">
      <c r="R9894" s="10">
        <v>9866</v>
      </c>
    </row>
    <row r="9895" spans="18:18" ht="13.8">
      <c r="R9895" s="10">
        <v>9867</v>
      </c>
    </row>
    <row r="9896" spans="18:18" ht="13.8">
      <c r="R9896" s="10">
        <v>9868</v>
      </c>
    </row>
    <row r="9897" spans="18:18" ht="13.8">
      <c r="R9897" s="10">
        <v>9869</v>
      </c>
    </row>
    <row r="9898" spans="18:18" ht="13.8">
      <c r="R9898" s="10">
        <v>9870</v>
      </c>
    </row>
    <row r="9899" spans="18:18" ht="13.8">
      <c r="R9899" s="10">
        <v>9871</v>
      </c>
    </row>
    <row r="9900" spans="18:18" ht="13.8">
      <c r="R9900" s="10">
        <v>9872</v>
      </c>
    </row>
    <row r="9901" spans="18:18" ht="13.8">
      <c r="R9901" s="10">
        <v>9873</v>
      </c>
    </row>
    <row r="9902" spans="18:18" ht="13.8">
      <c r="R9902" s="10">
        <v>9874</v>
      </c>
    </row>
    <row r="9903" spans="18:18" ht="13.8">
      <c r="R9903" s="10">
        <v>9875</v>
      </c>
    </row>
    <row r="9904" spans="18:18" ht="13.8">
      <c r="R9904" s="10">
        <v>9876</v>
      </c>
    </row>
    <row r="9905" spans="18:18" ht="13.8">
      <c r="R9905" s="10">
        <v>9877</v>
      </c>
    </row>
    <row r="9906" spans="18:18" ht="13.8">
      <c r="R9906" s="10">
        <v>9878</v>
      </c>
    </row>
    <row r="9907" spans="18:18" ht="13.8">
      <c r="R9907" s="10">
        <v>9879</v>
      </c>
    </row>
    <row r="9908" spans="18:18" ht="13.8">
      <c r="R9908" s="10">
        <v>9880</v>
      </c>
    </row>
    <row r="9909" spans="18:18" ht="13.8">
      <c r="R9909" s="10">
        <v>9881</v>
      </c>
    </row>
    <row r="9910" spans="18:18" ht="13.8">
      <c r="R9910" s="10">
        <v>9882</v>
      </c>
    </row>
    <row r="9911" spans="18:18" ht="13.8">
      <c r="R9911" s="10">
        <v>9883</v>
      </c>
    </row>
    <row r="9912" spans="18:18" ht="13.8">
      <c r="R9912" s="10">
        <v>9884</v>
      </c>
    </row>
    <row r="9913" spans="18:18" ht="13.8">
      <c r="R9913" s="10">
        <v>9885</v>
      </c>
    </row>
    <row r="9914" spans="18:18" ht="13.8">
      <c r="R9914" s="10">
        <v>9886</v>
      </c>
    </row>
    <row r="9915" spans="18:18" ht="13.8">
      <c r="R9915" s="10">
        <v>9887</v>
      </c>
    </row>
    <row r="9916" spans="18:18" ht="13.8">
      <c r="R9916" s="10">
        <v>9888</v>
      </c>
    </row>
    <row r="9917" spans="18:18" ht="13.8">
      <c r="R9917" s="10">
        <v>9889</v>
      </c>
    </row>
    <row r="9918" spans="18:18" ht="13.8">
      <c r="R9918" s="10">
        <v>9890</v>
      </c>
    </row>
    <row r="9919" spans="18:18" ht="13.8">
      <c r="R9919" s="10">
        <v>9891</v>
      </c>
    </row>
    <row r="9920" spans="18:18" ht="13.8">
      <c r="R9920" s="10">
        <v>9892</v>
      </c>
    </row>
    <row r="9921" spans="18:18" ht="13.8">
      <c r="R9921" s="10">
        <v>9893</v>
      </c>
    </row>
    <row r="9922" spans="18:18" ht="13.8">
      <c r="R9922" s="10">
        <v>9894</v>
      </c>
    </row>
    <row r="9923" spans="18:18" ht="13.8">
      <c r="R9923" s="10">
        <v>9895</v>
      </c>
    </row>
    <row r="9924" spans="18:18" ht="13.8">
      <c r="R9924" s="10">
        <v>9896</v>
      </c>
    </row>
    <row r="9925" spans="18:18" ht="13.8">
      <c r="R9925" s="10">
        <v>9897</v>
      </c>
    </row>
    <row r="9926" spans="18:18" ht="13.8">
      <c r="R9926" s="10">
        <v>9898</v>
      </c>
    </row>
    <row r="9927" spans="18:18" ht="13.8">
      <c r="R9927" s="10">
        <v>9899</v>
      </c>
    </row>
    <row r="9928" spans="18:18" ht="13.8">
      <c r="R9928" s="10">
        <v>9900</v>
      </c>
    </row>
    <row r="9929" spans="18:18" ht="13.8">
      <c r="R9929" s="10">
        <v>9901</v>
      </c>
    </row>
    <row r="9930" spans="18:18" ht="13.8">
      <c r="R9930" s="10">
        <v>9902</v>
      </c>
    </row>
    <row r="9931" spans="18:18" ht="13.8">
      <c r="R9931" s="10">
        <v>9903</v>
      </c>
    </row>
    <row r="9932" spans="18:18" ht="13.8">
      <c r="R9932" s="10">
        <v>9904</v>
      </c>
    </row>
    <row r="9933" spans="18:18" ht="13.8">
      <c r="R9933" s="10">
        <v>9905</v>
      </c>
    </row>
    <row r="9934" spans="18:18" ht="13.8">
      <c r="R9934" s="10">
        <v>9906</v>
      </c>
    </row>
    <row r="9935" spans="18:18" ht="13.8">
      <c r="R9935" s="10">
        <v>9907</v>
      </c>
    </row>
    <row r="9936" spans="18:18" ht="13.8">
      <c r="R9936" s="10">
        <v>9908</v>
      </c>
    </row>
    <row r="9937" spans="18:18" ht="13.8">
      <c r="R9937" s="10">
        <v>9909</v>
      </c>
    </row>
    <row r="9938" spans="18:18" ht="13.8">
      <c r="R9938" s="10">
        <v>9910</v>
      </c>
    </row>
    <row r="9939" spans="18:18" ht="13.8">
      <c r="R9939" s="10">
        <v>9911</v>
      </c>
    </row>
    <row r="9940" spans="18:18" ht="13.8">
      <c r="R9940" s="10">
        <v>9912</v>
      </c>
    </row>
    <row r="9941" spans="18:18" ht="13.8">
      <c r="R9941" s="10">
        <v>9913</v>
      </c>
    </row>
    <row r="9942" spans="18:18" ht="13.8">
      <c r="R9942" s="10">
        <v>9914</v>
      </c>
    </row>
    <row r="9943" spans="18:18" ht="13.8">
      <c r="R9943" s="10">
        <v>9915</v>
      </c>
    </row>
    <row r="9944" spans="18:18" ht="13.8">
      <c r="R9944" s="10">
        <v>9916</v>
      </c>
    </row>
    <row r="9945" spans="18:18" ht="13.8">
      <c r="R9945" s="10">
        <v>9917</v>
      </c>
    </row>
    <row r="9946" spans="18:18" ht="13.8">
      <c r="R9946" s="10">
        <v>9918</v>
      </c>
    </row>
    <row r="9947" spans="18:18" ht="13.8">
      <c r="R9947" s="10">
        <v>9919</v>
      </c>
    </row>
    <row r="9948" spans="18:18" ht="13.8">
      <c r="R9948" s="10">
        <v>9920</v>
      </c>
    </row>
    <row r="9949" spans="18:18" ht="13.8">
      <c r="R9949" s="10">
        <v>9921</v>
      </c>
    </row>
    <row r="9950" spans="18:18" ht="13.8">
      <c r="R9950" s="10">
        <v>9922</v>
      </c>
    </row>
    <row r="9951" spans="18:18" ht="13.8">
      <c r="R9951" s="10">
        <v>9923</v>
      </c>
    </row>
    <row r="9952" spans="18:18" ht="13.8">
      <c r="R9952" s="10">
        <v>9924</v>
      </c>
    </row>
    <row r="9953" spans="18:18" ht="13.8">
      <c r="R9953" s="10">
        <v>9925</v>
      </c>
    </row>
    <row r="9954" spans="18:18" ht="13.8">
      <c r="R9954" s="10">
        <v>9926</v>
      </c>
    </row>
    <row r="9955" spans="18:18" ht="13.8">
      <c r="R9955" s="10">
        <v>9927</v>
      </c>
    </row>
    <row r="9956" spans="18:18" ht="13.8">
      <c r="R9956" s="10">
        <v>9928</v>
      </c>
    </row>
    <row r="9957" spans="18:18" ht="13.8">
      <c r="R9957" s="10">
        <v>9929</v>
      </c>
    </row>
    <row r="9958" spans="18:18" ht="13.8">
      <c r="R9958" s="10">
        <v>9930</v>
      </c>
    </row>
    <row r="9959" spans="18:18" ht="13.8">
      <c r="R9959" s="10">
        <v>9931</v>
      </c>
    </row>
    <row r="9960" spans="18:18" ht="13.8">
      <c r="R9960" s="10">
        <v>9932</v>
      </c>
    </row>
    <row r="9961" spans="18:18" ht="13.8">
      <c r="R9961" s="10">
        <v>9933</v>
      </c>
    </row>
    <row r="9962" spans="18:18" ht="13.8">
      <c r="R9962" s="10">
        <v>9934</v>
      </c>
    </row>
    <row r="9963" spans="18:18" ht="13.8">
      <c r="R9963" s="10">
        <v>9935</v>
      </c>
    </row>
    <row r="9964" spans="18:18" ht="13.8">
      <c r="R9964" s="10">
        <v>9936</v>
      </c>
    </row>
    <row r="9965" spans="18:18" ht="13.8">
      <c r="R9965" s="10">
        <v>9937</v>
      </c>
    </row>
    <row r="9966" spans="18:18" ht="13.8">
      <c r="R9966" s="10">
        <v>9938</v>
      </c>
    </row>
    <row r="9967" spans="18:18" ht="13.8">
      <c r="R9967" s="10">
        <v>9939</v>
      </c>
    </row>
    <row r="9968" spans="18:18" ht="13.8">
      <c r="R9968" s="10">
        <v>9940</v>
      </c>
    </row>
    <row r="9969" spans="18:18" ht="13.8">
      <c r="R9969" s="10">
        <v>9941</v>
      </c>
    </row>
    <row r="9970" spans="18:18" ht="13.8">
      <c r="R9970" s="10">
        <v>9942</v>
      </c>
    </row>
    <row r="9971" spans="18:18" ht="13.8">
      <c r="R9971" s="10">
        <v>9943</v>
      </c>
    </row>
    <row r="9972" spans="18:18" ht="13.8">
      <c r="R9972" s="10">
        <v>9944</v>
      </c>
    </row>
    <row r="9973" spans="18:18" ht="13.8">
      <c r="R9973" s="10">
        <v>9945</v>
      </c>
    </row>
    <row r="9974" spans="18:18" ht="13.8">
      <c r="R9974" s="10">
        <v>9946</v>
      </c>
    </row>
    <row r="9975" spans="18:18" ht="13.8">
      <c r="R9975" s="10">
        <v>9947</v>
      </c>
    </row>
    <row r="9976" spans="18:18" ht="13.8">
      <c r="R9976" s="10">
        <v>9948</v>
      </c>
    </row>
    <row r="9977" spans="18:18" ht="13.8">
      <c r="R9977" s="10">
        <v>9949</v>
      </c>
    </row>
    <row r="9978" spans="18:18" ht="13.8">
      <c r="R9978" s="10">
        <v>9950</v>
      </c>
    </row>
    <row r="9979" spans="18:18" ht="13.8">
      <c r="R9979" s="10">
        <v>9951</v>
      </c>
    </row>
    <row r="9980" spans="18:18" ht="13.8">
      <c r="R9980" s="10">
        <v>9952</v>
      </c>
    </row>
    <row r="9981" spans="18:18" ht="13.8">
      <c r="R9981" s="10">
        <v>9953</v>
      </c>
    </row>
    <row r="9982" spans="18:18" ht="13.8">
      <c r="R9982" s="10">
        <v>9954</v>
      </c>
    </row>
    <row r="9983" spans="18:18" ht="13.8">
      <c r="R9983" s="10">
        <v>9955</v>
      </c>
    </row>
    <row r="9984" spans="18:18" ht="13.8">
      <c r="R9984" s="10">
        <v>9956</v>
      </c>
    </row>
    <row r="9985" spans="18:18" ht="13.8">
      <c r="R9985" s="10">
        <v>9957</v>
      </c>
    </row>
    <row r="9986" spans="18:18" ht="13.8">
      <c r="R9986" s="10">
        <v>9958</v>
      </c>
    </row>
    <row r="9987" spans="18:18" ht="13.8">
      <c r="R9987" s="10">
        <v>9959</v>
      </c>
    </row>
    <row r="9988" spans="18:18" ht="13.8">
      <c r="R9988" s="10">
        <v>9960</v>
      </c>
    </row>
    <row r="9989" spans="18:18" ht="13.8">
      <c r="R9989" s="10">
        <v>9961</v>
      </c>
    </row>
    <row r="9990" spans="18:18" ht="13.8">
      <c r="R9990" s="10">
        <v>9962</v>
      </c>
    </row>
    <row r="9991" spans="18:18" ht="13.8">
      <c r="R9991" s="10">
        <v>9963</v>
      </c>
    </row>
    <row r="9992" spans="18:18" ht="13.8">
      <c r="R9992" s="10">
        <v>9964</v>
      </c>
    </row>
    <row r="9993" spans="18:18" ht="13.8">
      <c r="R9993" s="10">
        <v>9965</v>
      </c>
    </row>
    <row r="9994" spans="18:18" ht="13.8">
      <c r="R9994" s="10">
        <v>9966</v>
      </c>
    </row>
    <row r="9995" spans="18:18" ht="13.8">
      <c r="R9995" s="10">
        <v>9967</v>
      </c>
    </row>
    <row r="9996" spans="18:18" ht="13.8">
      <c r="R9996" s="10">
        <v>9968</v>
      </c>
    </row>
    <row r="9997" spans="18:18" ht="13.8">
      <c r="R9997" s="10">
        <v>9969</v>
      </c>
    </row>
    <row r="9998" spans="18:18" ht="13.8">
      <c r="R9998" s="10">
        <v>9970</v>
      </c>
    </row>
    <row r="9999" spans="18:18" ht="13.8">
      <c r="R9999" s="10">
        <v>9971</v>
      </c>
    </row>
    <row r="10000" spans="18:18" ht="13.8">
      <c r="R10000" s="10">
        <v>9972</v>
      </c>
    </row>
    <row r="10001" spans="18:18" ht="13.8">
      <c r="R10001" s="10">
        <v>9973</v>
      </c>
    </row>
    <row r="10002" spans="18:18" ht="13.8">
      <c r="R10002" s="10">
        <v>9974</v>
      </c>
    </row>
    <row r="10003" spans="18:18" ht="13.8">
      <c r="R10003" s="10">
        <v>9975</v>
      </c>
    </row>
    <row r="10004" spans="18:18" ht="13.8">
      <c r="R10004" s="10">
        <v>9976</v>
      </c>
    </row>
    <row r="10005" spans="18:18" ht="13.8">
      <c r="R10005" s="10">
        <v>9977</v>
      </c>
    </row>
    <row r="10006" spans="18:18" ht="13.8">
      <c r="R10006" s="10">
        <v>9978</v>
      </c>
    </row>
    <row r="10007" spans="18:18" ht="13.8">
      <c r="R10007" s="10">
        <v>9979</v>
      </c>
    </row>
    <row r="10008" spans="18:18" ht="13.8">
      <c r="R10008" s="10">
        <v>9980</v>
      </c>
    </row>
    <row r="10009" spans="18:18" ht="13.8">
      <c r="R10009" s="10">
        <v>9981</v>
      </c>
    </row>
    <row r="10010" spans="18:18" ht="13.8">
      <c r="R10010" s="10">
        <v>9982</v>
      </c>
    </row>
    <row r="10011" spans="18:18" ht="13.8">
      <c r="R10011" s="10">
        <v>9983</v>
      </c>
    </row>
    <row r="10012" spans="18:18" ht="13.8">
      <c r="R10012" s="10">
        <v>9984</v>
      </c>
    </row>
    <row r="10013" spans="18:18" ht="13.8">
      <c r="R10013" s="10">
        <v>9985</v>
      </c>
    </row>
    <row r="10014" spans="18:18" ht="13.8">
      <c r="R10014" s="10">
        <v>9986</v>
      </c>
    </row>
    <row r="10015" spans="18:18" ht="13.8">
      <c r="R10015" s="10">
        <v>9987</v>
      </c>
    </row>
    <row r="10016" spans="18:18" ht="13.8">
      <c r="R10016" s="10">
        <v>9988</v>
      </c>
    </row>
    <row r="10017" spans="18:18" ht="13.8">
      <c r="R10017" s="10">
        <v>9989</v>
      </c>
    </row>
    <row r="10018" spans="18:18" ht="13.8">
      <c r="R10018" s="10">
        <v>9990</v>
      </c>
    </row>
    <row r="10019" spans="18:18" ht="13.8">
      <c r="R10019" s="10">
        <v>9991</v>
      </c>
    </row>
    <row r="10020" spans="18:18" ht="13.8">
      <c r="R10020" s="10">
        <v>9992</v>
      </c>
    </row>
    <row r="10021" spans="18:18" ht="13.8">
      <c r="R10021" s="10">
        <v>9993</v>
      </c>
    </row>
    <row r="10022" spans="18:18" ht="13.8">
      <c r="R10022" s="10">
        <v>9994</v>
      </c>
    </row>
    <row r="10023" spans="18:18" ht="13.8">
      <c r="R10023" s="10">
        <v>9995</v>
      </c>
    </row>
    <row r="10024" spans="18:18" ht="13.8">
      <c r="R10024" s="10">
        <v>9996</v>
      </c>
    </row>
    <row r="10025" spans="18:18" ht="13.8">
      <c r="R10025" s="10">
        <v>9997</v>
      </c>
    </row>
    <row r="10026" spans="18:18" ht="13.8">
      <c r="R10026" s="10">
        <v>9998</v>
      </c>
    </row>
    <row r="10027" spans="18:18" ht="13.8">
      <c r="R10027" s="10">
        <v>9999</v>
      </c>
    </row>
    <row r="10028" spans="18:18" ht="13.8">
      <c r="R10028" s="10">
        <v>10000</v>
      </c>
    </row>
    <row r="10029" spans="18:18" ht="13.8">
      <c r="R10029" s="10">
        <v>10001</v>
      </c>
    </row>
    <row r="10030" spans="18:18" ht="13.8">
      <c r="R10030" s="10">
        <v>10002</v>
      </c>
    </row>
    <row r="10031" spans="18:18" ht="13.8">
      <c r="R10031" s="10">
        <v>10003</v>
      </c>
    </row>
    <row r="10032" spans="18:18" ht="13.8">
      <c r="R10032" s="10">
        <v>10004</v>
      </c>
    </row>
    <row r="10033" spans="18:18" ht="13.8">
      <c r="R10033" s="10">
        <v>10005</v>
      </c>
    </row>
    <row r="10034" spans="18:18" ht="13.8">
      <c r="R10034" s="10">
        <v>10006</v>
      </c>
    </row>
    <row r="10035" spans="18:18" ht="13.8">
      <c r="R10035" s="10">
        <v>10007</v>
      </c>
    </row>
    <row r="10036" spans="18:18" ht="13.8">
      <c r="R10036" s="10">
        <v>10008</v>
      </c>
    </row>
    <row r="10037" spans="18:18" ht="13.8">
      <c r="R10037" s="10">
        <v>10009</v>
      </c>
    </row>
    <row r="10038" spans="18:18" ht="13.8">
      <c r="R10038" s="10">
        <v>10010</v>
      </c>
    </row>
    <row r="10039" spans="18:18" ht="13.8">
      <c r="R10039" s="10">
        <v>10011</v>
      </c>
    </row>
    <row r="10040" spans="18:18" ht="13.8">
      <c r="R10040" s="10">
        <v>10012</v>
      </c>
    </row>
    <row r="10041" spans="18:18" ht="13.8">
      <c r="R10041" s="10">
        <v>10013</v>
      </c>
    </row>
    <row r="10042" spans="18:18" ht="13.8">
      <c r="R10042" s="10">
        <v>10014</v>
      </c>
    </row>
    <row r="10043" spans="18:18" ht="13.8">
      <c r="R10043" s="10">
        <v>10015</v>
      </c>
    </row>
    <row r="10044" spans="18:18" ht="13.8">
      <c r="R10044" s="10">
        <v>10016</v>
      </c>
    </row>
    <row r="10045" spans="18:18" ht="13.8">
      <c r="R10045" s="10">
        <v>10017</v>
      </c>
    </row>
    <row r="10046" spans="18:18" ht="13.8">
      <c r="R10046" s="10">
        <v>10018</v>
      </c>
    </row>
    <row r="10047" spans="18:18" ht="13.8">
      <c r="R10047" s="10">
        <v>10019</v>
      </c>
    </row>
    <row r="10048" spans="18:18" ht="13.8">
      <c r="R10048" s="10">
        <v>10020</v>
      </c>
    </row>
    <row r="10049" spans="18:18" ht="13.8">
      <c r="R10049" s="10">
        <v>10021</v>
      </c>
    </row>
    <row r="10050" spans="18:18" ht="13.8">
      <c r="R10050" s="10">
        <v>10022</v>
      </c>
    </row>
    <row r="10051" spans="18:18" ht="13.8">
      <c r="R10051" s="10">
        <v>10023</v>
      </c>
    </row>
    <row r="10052" spans="18:18" ht="13.8">
      <c r="R10052" s="10">
        <v>10024</v>
      </c>
    </row>
    <row r="10053" spans="18:18" ht="13.8">
      <c r="R10053" s="10">
        <v>10025</v>
      </c>
    </row>
    <row r="10054" spans="18:18" ht="13.8">
      <c r="R10054" s="10">
        <v>10026</v>
      </c>
    </row>
    <row r="10055" spans="18:18" ht="13.8">
      <c r="R10055" s="10">
        <v>10027</v>
      </c>
    </row>
    <row r="10056" spans="18:18" ht="13.8">
      <c r="R10056" s="10">
        <v>10028</v>
      </c>
    </row>
    <row r="10057" spans="18:18" ht="13.8">
      <c r="R10057" s="10">
        <v>10029</v>
      </c>
    </row>
    <row r="10058" spans="18:18" ht="13.8">
      <c r="R10058" s="10">
        <v>10030</v>
      </c>
    </row>
    <row r="10059" spans="18:18" ht="13.8">
      <c r="R10059" s="10">
        <v>10031</v>
      </c>
    </row>
    <row r="10060" spans="18:18" ht="13.8">
      <c r="R10060" s="10">
        <v>10032</v>
      </c>
    </row>
    <row r="10061" spans="18:18" ht="13.8">
      <c r="R10061" s="10">
        <v>10033</v>
      </c>
    </row>
    <row r="10062" spans="18:18" ht="13.8">
      <c r="R10062" s="10">
        <v>10034</v>
      </c>
    </row>
    <row r="10063" spans="18:18" ht="13.8">
      <c r="R10063" s="10">
        <v>10035</v>
      </c>
    </row>
    <row r="10064" spans="18:18" ht="13.8">
      <c r="R10064" s="10">
        <v>10036</v>
      </c>
    </row>
    <row r="10065" spans="18:18" ht="13.8">
      <c r="R10065" s="10">
        <v>10037</v>
      </c>
    </row>
    <row r="10066" spans="18:18" ht="13.8">
      <c r="R10066" s="10">
        <v>10038</v>
      </c>
    </row>
    <row r="10067" spans="18:18" ht="13.8">
      <c r="R10067" s="10">
        <v>10039</v>
      </c>
    </row>
    <row r="10068" spans="18:18" ht="13.8">
      <c r="R10068" s="10">
        <v>10040</v>
      </c>
    </row>
    <row r="10069" spans="18:18" ht="13.8">
      <c r="R10069" s="10">
        <v>10041</v>
      </c>
    </row>
    <row r="10070" spans="18:18" ht="13.8">
      <c r="R10070" s="10">
        <v>10042</v>
      </c>
    </row>
    <row r="10071" spans="18:18" ht="13.8">
      <c r="R10071" s="10">
        <v>10043</v>
      </c>
    </row>
    <row r="10072" spans="18:18" ht="13.8">
      <c r="R10072" s="10">
        <v>10044</v>
      </c>
    </row>
    <row r="10073" spans="18:18" ht="13.8">
      <c r="R10073" s="10">
        <v>10045</v>
      </c>
    </row>
    <row r="10074" spans="18:18" ht="13.8">
      <c r="R10074" s="10">
        <v>10046</v>
      </c>
    </row>
    <row r="10075" spans="18:18" ht="13.8">
      <c r="R10075" s="10">
        <v>10047</v>
      </c>
    </row>
    <row r="10076" spans="18:18" ht="13.8">
      <c r="R10076" s="10">
        <v>10048</v>
      </c>
    </row>
    <row r="10077" spans="18:18" ht="13.8">
      <c r="R10077" s="10">
        <v>10049</v>
      </c>
    </row>
    <row r="10078" spans="18:18" ht="13.8">
      <c r="R10078" s="10">
        <v>10050</v>
      </c>
    </row>
    <row r="10079" spans="18:18" ht="13.8">
      <c r="R10079" s="10">
        <v>10051</v>
      </c>
    </row>
    <row r="10080" spans="18:18" ht="13.8">
      <c r="R10080" s="10">
        <v>10052</v>
      </c>
    </row>
    <row r="10081" spans="18:18" ht="13.8">
      <c r="R10081" s="10">
        <v>10053</v>
      </c>
    </row>
    <row r="10082" spans="18:18" ht="13.8">
      <c r="R10082" s="10">
        <v>10054</v>
      </c>
    </row>
    <row r="10083" spans="18:18" ht="13.8">
      <c r="R10083" s="10">
        <v>10055</v>
      </c>
    </row>
    <row r="10084" spans="18:18" ht="13.8">
      <c r="R10084" s="10">
        <v>10056</v>
      </c>
    </row>
    <row r="10085" spans="18:18" ht="13.8">
      <c r="R10085" s="10">
        <v>10057</v>
      </c>
    </row>
    <row r="10086" spans="18:18" ht="13.8">
      <c r="R10086" s="10">
        <v>10058</v>
      </c>
    </row>
    <row r="10087" spans="18:18" ht="13.8">
      <c r="R10087" s="10">
        <v>10059</v>
      </c>
    </row>
    <row r="10088" spans="18:18" ht="13.8">
      <c r="R10088" s="10">
        <v>10060</v>
      </c>
    </row>
    <row r="10089" spans="18:18" ht="13.8">
      <c r="R10089" s="10">
        <v>10061</v>
      </c>
    </row>
    <row r="10090" spans="18:18" ht="13.8">
      <c r="R10090" s="10">
        <v>10062</v>
      </c>
    </row>
    <row r="10091" spans="18:18" ht="13.8">
      <c r="R10091" s="10">
        <v>10063</v>
      </c>
    </row>
    <row r="10092" spans="18:18" ht="13.8">
      <c r="R10092" s="10">
        <v>10064</v>
      </c>
    </row>
    <row r="10093" spans="18:18" ht="13.8">
      <c r="R10093" s="10">
        <v>10065</v>
      </c>
    </row>
    <row r="10094" spans="18:18" ht="13.8">
      <c r="R10094" s="10">
        <v>10066</v>
      </c>
    </row>
    <row r="10095" spans="18:18" ht="13.8">
      <c r="R10095" s="10">
        <v>10067</v>
      </c>
    </row>
    <row r="10096" spans="18:18" ht="13.8">
      <c r="R10096" s="10">
        <v>10068</v>
      </c>
    </row>
    <row r="10097" spans="18:18" ht="13.8">
      <c r="R10097" s="10">
        <v>10069</v>
      </c>
    </row>
    <row r="10098" spans="18:18" ht="13.8">
      <c r="R10098" s="10">
        <v>10070</v>
      </c>
    </row>
    <row r="10099" spans="18:18" ht="13.8">
      <c r="R10099" s="10">
        <v>10071</v>
      </c>
    </row>
    <row r="10100" spans="18:18" ht="13.8">
      <c r="R10100" s="10">
        <v>10072</v>
      </c>
    </row>
    <row r="10101" spans="18:18" ht="13.8">
      <c r="R10101" s="10">
        <v>10073</v>
      </c>
    </row>
    <row r="10102" spans="18:18" ht="13.8">
      <c r="R10102" s="10">
        <v>10074</v>
      </c>
    </row>
    <row r="10103" spans="18:18" ht="13.8">
      <c r="R10103" s="10">
        <v>10075</v>
      </c>
    </row>
    <row r="10104" spans="18:18" ht="13.8">
      <c r="R10104" s="10">
        <v>10076</v>
      </c>
    </row>
    <row r="10105" spans="18:18" ht="13.8">
      <c r="R10105" s="10">
        <v>10077</v>
      </c>
    </row>
    <row r="10106" spans="18:18" ht="13.8">
      <c r="R10106" s="10">
        <v>10078</v>
      </c>
    </row>
    <row r="10107" spans="18:18" ht="13.8">
      <c r="R10107" s="10">
        <v>10079</v>
      </c>
    </row>
    <row r="10108" spans="18:18" ht="13.8">
      <c r="R10108" s="10">
        <v>10080</v>
      </c>
    </row>
    <row r="10109" spans="18:18" ht="13.8">
      <c r="R10109" s="10">
        <v>10081</v>
      </c>
    </row>
    <row r="10110" spans="18:18" ht="13.8">
      <c r="R10110" s="10">
        <v>10082</v>
      </c>
    </row>
    <row r="10111" spans="18:18" ht="13.8">
      <c r="R10111" s="10">
        <v>10083</v>
      </c>
    </row>
    <row r="10112" spans="18:18" ht="13.8">
      <c r="R10112" s="10">
        <v>10084</v>
      </c>
    </row>
    <row r="10113" spans="18:18" ht="13.8">
      <c r="R10113" s="10">
        <v>10085</v>
      </c>
    </row>
    <row r="10114" spans="18:18" ht="13.8">
      <c r="R10114" s="10">
        <v>10086</v>
      </c>
    </row>
    <row r="10115" spans="18:18" ht="13.8">
      <c r="R10115" s="10">
        <v>10087</v>
      </c>
    </row>
    <row r="10116" spans="18:18" ht="13.8">
      <c r="R10116" s="10">
        <v>10088</v>
      </c>
    </row>
    <row r="10117" spans="18:18" ht="13.8">
      <c r="R10117" s="10">
        <v>10089</v>
      </c>
    </row>
    <row r="10118" spans="18:18" ht="13.8">
      <c r="R10118" s="10">
        <v>10090</v>
      </c>
    </row>
    <row r="10119" spans="18:18" ht="13.8">
      <c r="R10119" s="10">
        <v>10091</v>
      </c>
    </row>
    <row r="10120" spans="18:18" ht="13.8">
      <c r="R10120" s="10">
        <v>10092</v>
      </c>
    </row>
    <row r="10121" spans="18:18" ht="13.8">
      <c r="R10121" s="10">
        <v>10093</v>
      </c>
    </row>
    <row r="10122" spans="18:18" ht="13.8">
      <c r="R10122" s="10">
        <v>10094</v>
      </c>
    </row>
    <row r="10123" spans="18:18" ht="13.8">
      <c r="R10123" s="10">
        <v>10095</v>
      </c>
    </row>
    <row r="10124" spans="18:18" ht="13.8">
      <c r="R10124" s="10">
        <v>10096</v>
      </c>
    </row>
    <row r="10125" spans="18:18" ht="13.8">
      <c r="R10125" s="10">
        <v>10097</v>
      </c>
    </row>
    <row r="10126" spans="18:18" ht="13.8">
      <c r="R10126" s="10">
        <v>10098</v>
      </c>
    </row>
    <row r="10127" spans="18:18" ht="13.8">
      <c r="R10127" s="10">
        <v>10099</v>
      </c>
    </row>
    <row r="10128" spans="18:18" ht="13.8">
      <c r="R10128" s="10">
        <v>10100</v>
      </c>
    </row>
    <row r="10129" spans="18:18" ht="13.8">
      <c r="R10129" s="10">
        <v>10101</v>
      </c>
    </row>
    <row r="10130" spans="18:18" ht="13.8">
      <c r="R10130" s="10">
        <v>10102</v>
      </c>
    </row>
    <row r="10131" spans="18:18" ht="13.8">
      <c r="R10131" s="10">
        <v>10103</v>
      </c>
    </row>
    <row r="10132" spans="18:18" ht="13.8">
      <c r="R10132" s="10">
        <v>10104</v>
      </c>
    </row>
    <row r="10133" spans="18:18" ht="13.8">
      <c r="R10133" s="10">
        <v>10105</v>
      </c>
    </row>
    <row r="10134" spans="18:18" ht="13.8">
      <c r="R10134" s="10">
        <v>10106</v>
      </c>
    </row>
    <row r="10135" spans="18:18" ht="13.8">
      <c r="R10135" s="10">
        <v>10107</v>
      </c>
    </row>
    <row r="10136" spans="18:18" ht="13.8">
      <c r="R10136" s="10">
        <v>10108</v>
      </c>
    </row>
    <row r="10137" spans="18:18" ht="13.8">
      <c r="R10137" s="10">
        <v>10109</v>
      </c>
    </row>
    <row r="10138" spans="18:18" ht="13.8">
      <c r="R10138" s="10">
        <v>10110</v>
      </c>
    </row>
    <row r="10139" spans="18:18" ht="13.8">
      <c r="R10139" s="10">
        <v>10111</v>
      </c>
    </row>
    <row r="10140" spans="18:18" ht="13.8">
      <c r="R10140" s="10">
        <v>10112</v>
      </c>
    </row>
    <row r="10141" spans="18:18" ht="13.8">
      <c r="R10141" s="10">
        <v>10113</v>
      </c>
    </row>
    <row r="10142" spans="18:18" ht="13.8">
      <c r="R10142" s="10">
        <v>10114</v>
      </c>
    </row>
    <row r="10143" spans="18:18" ht="13.8">
      <c r="R10143" s="10">
        <v>10115</v>
      </c>
    </row>
    <row r="10144" spans="18:18" ht="13.8">
      <c r="R10144" s="10">
        <v>10116</v>
      </c>
    </row>
    <row r="10145" spans="18:18" ht="13.8">
      <c r="R10145" s="10">
        <v>10117</v>
      </c>
    </row>
    <row r="10146" spans="18:18" ht="13.8">
      <c r="R10146" s="10">
        <v>10118</v>
      </c>
    </row>
    <row r="10147" spans="18:18" ht="13.8">
      <c r="R10147" s="10">
        <v>10119</v>
      </c>
    </row>
    <row r="10148" spans="18:18" ht="13.8">
      <c r="R10148" s="10">
        <v>10120</v>
      </c>
    </row>
    <row r="10149" spans="18:18" ht="13.8">
      <c r="R10149" s="10">
        <v>10121</v>
      </c>
    </row>
    <row r="10150" spans="18:18" ht="13.8">
      <c r="R10150" s="10">
        <v>10122</v>
      </c>
    </row>
    <row r="10151" spans="18:18" ht="13.8">
      <c r="R10151" s="10">
        <v>10123</v>
      </c>
    </row>
    <row r="10152" spans="18:18" ht="13.8">
      <c r="R10152" s="10">
        <v>10124</v>
      </c>
    </row>
    <row r="10153" spans="18:18" ht="13.8">
      <c r="R10153" s="10">
        <v>10125</v>
      </c>
    </row>
    <row r="10154" spans="18:18" ht="13.8">
      <c r="R10154" s="10">
        <v>10126</v>
      </c>
    </row>
    <row r="10155" spans="18:18" ht="13.8">
      <c r="R10155" s="10">
        <v>10127</v>
      </c>
    </row>
    <row r="10156" spans="18:18" ht="13.8">
      <c r="R10156" s="10">
        <v>10128</v>
      </c>
    </row>
    <row r="10157" spans="18:18" ht="13.8">
      <c r="R10157" s="10">
        <v>10129</v>
      </c>
    </row>
    <row r="10158" spans="18:18" ht="13.8">
      <c r="R10158" s="10">
        <v>10130</v>
      </c>
    </row>
    <row r="10159" spans="18:18" ht="13.8">
      <c r="R10159" s="10">
        <v>10131</v>
      </c>
    </row>
    <row r="10160" spans="18:18" ht="13.8">
      <c r="R10160" s="10">
        <v>10132</v>
      </c>
    </row>
    <row r="10161" spans="18:18" ht="13.8">
      <c r="R10161" s="10">
        <v>10133</v>
      </c>
    </row>
    <row r="10162" spans="18:18" ht="13.8">
      <c r="R10162" s="10">
        <v>10134</v>
      </c>
    </row>
    <row r="10163" spans="18:18" ht="13.8">
      <c r="R10163" s="10">
        <v>10135</v>
      </c>
    </row>
    <row r="10164" spans="18:18" ht="13.8">
      <c r="R10164" s="10">
        <v>10136</v>
      </c>
    </row>
    <row r="10165" spans="18:18" ht="13.8">
      <c r="R10165" s="10">
        <v>10137</v>
      </c>
    </row>
    <row r="10166" spans="18:18" ht="13.8">
      <c r="R10166" s="10">
        <v>10138</v>
      </c>
    </row>
    <row r="10167" spans="18:18" ht="13.8">
      <c r="R10167" s="10">
        <v>10139</v>
      </c>
    </row>
    <row r="10168" spans="18:18" ht="13.8">
      <c r="R10168" s="10">
        <v>10140</v>
      </c>
    </row>
    <row r="10169" spans="18:18" ht="13.8">
      <c r="R10169" s="10">
        <v>10141</v>
      </c>
    </row>
    <row r="10170" spans="18:18" ht="13.8">
      <c r="R10170" s="10">
        <v>10142</v>
      </c>
    </row>
    <row r="10171" spans="18:18" ht="13.8">
      <c r="R10171" s="10">
        <v>10143</v>
      </c>
    </row>
    <row r="10172" spans="18:18" ht="13.8">
      <c r="R10172" s="10">
        <v>10144</v>
      </c>
    </row>
    <row r="10173" spans="18:18" ht="13.8">
      <c r="R10173" s="10">
        <v>10145</v>
      </c>
    </row>
    <row r="10174" spans="18:18" ht="13.8">
      <c r="R10174" s="10">
        <v>10146</v>
      </c>
    </row>
    <row r="10175" spans="18:18" ht="13.8">
      <c r="R10175" s="10">
        <v>10147</v>
      </c>
    </row>
    <row r="10176" spans="18:18" ht="13.8">
      <c r="R10176" s="10">
        <v>10148</v>
      </c>
    </row>
    <row r="10177" spans="18:18" ht="13.8">
      <c r="R10177" s="10">
        <v>10149</v>
      </c>
    </row>
    <row r="10178" spans="18:18" ht="13.8">
      <c r="R10178" s="10">
        <v>10150</v>
      </c>
    </row>
    <row r="10179" spans="18:18" ht="13.8">
      <c r="R10179" s="10">
        <v>10151</v>
      </c>
    </row>
    <row r="10180" spans="18:18" ht="13.8">
      <c r="R10180" s="10">
        <v>10152</v>
      </c>
    </row>
    <row r="10181" spans="18:18" ht="13.8">
      <c r="R10181" s="10">
        <v>10153</v>
      </c>
    </row>
    <row r="10182" spans="18:18" ht="13.8">
      <c r="R10182" s="10">
        <v>10154</v>
      </c>
    </row>
    <row r="10183" spans="18:18" ht="13.8">
      <c r="R10183" s="10">
        <v>10155</v>
      </c>
    </row>
    <row r="10184" spans="18:18" ht="13.8">
      <c r="R10184" s="10">
        <v>10156</v>
      </c>
    </row>
    <row r="10185" spans="18:18" ht="13.8">
      <c r="R10185" s="10">
        <v>10157</v>
      </c>
    </row>
    <row r="10186" spans="18:18" ht="13.8">
      <c r="R10186" s="10">
        <v>10158</v>
      </c>
    </row>
    <row r="10187" spans="18:18" ht="13.8">
      <c r="R10187" s="10">
        <v>10159</v>
      </c>
    </row>
    <row r="10188" spans="18:18" ht="13.8">
      <c r="R10188" s="10">
        <v>10160</v>
      </c>
    </row>
    <row r="10189" spans="18:18" ht="13.8">
      <c r="R10189" s="10">
        <v>10161</v>
      </c>
    </row>
    <row r="10190" spans="18:18" ht="13.8">
      <c r="R10190" s="10">
        <v>10162</v>
      </c>
    </row>
    <row r="10191" spans="18:18" ht="13.8">
      <c r="R10191" s="10">
        <v>10163</v>
      </c>
    </row>
    <row r="10192" spans="18:18" ht="13.8">
      <c r="R10192" s="10">
        <v>10164</v>
      </c>
    </row>
    <row r="10193" spans="18:18" ht="13.8">
      <c r="R10193" s="10">
        <v>10165</v>
      </c>
    </row>
    <row r="10194" spans="18:18" ht="13.8">
      <c r="R10194" s="10">
        <v>10166</v>
      </c>
    </row>
    <row r="10195" spans="18:18" ht="13.8">
      <c r="R10195" s="10">
        <v>10167</v>
      </c>
    </row>
    <row r="10196" spans="18:18" ht="13.8">
      <c r="R10196" s="10">
        <v>10168</v>
      </c>
    </row>
    <row r="10197" spans="18:18" ht="13.8">
      <c r="R10197" s="10">
        <v>10169</v>
      </c>
    </row>
    <row r="10198" spans="18:18" ht="13.8">
      <c r="R10198" s="10">
        <v>10170</v>
      </c>
    </row>
    <row r="10199" spans="18:18" ht="13.8">
      <c r="R10199" s="10">
        <v>10171</v>
      </c>
    </row>
    <row r="10200" spans="18:18" ht="13.8">
      <c r="R10200" s="10">
        <v>10172</v>
      </c>
    </row>
    <row r="10201" spans="18:18" ht="13.8">
      <c r="R10201" s="10">
        <v>10173</v>
      </c>
    </row>
    <row r="10202" spans="18:18" ht="13.8">
      <c r="R10202" s="10">
        <v>10174</v>
      </c>
    </row>
    <row r="10203" spans="18:18" ht="13.8">
      <c r="R10203" s="10">
        <v>10175</v>
      </c>
    </row>
    <row r="10204" spans="18:18" ht="13.8">
      <c r="R10204" s="10">
        <v>10176</v>
      </c>
    </row>
    <row r="10205" spans="18:18" ht="13.8">
      <c r="R10205" s="10">
        <v>10177</v>
      </c>
    </row>
    <row r="10206" spans="18:18" ht="13.8">
      <c r="R10206" s="10">
        <v>10178</v>
      </c>
    </row>
    <row r="10207" spans="18:18" ht="13.8">
      <c r="R10207" s="10">
        <v>10179</v>
      </c>
    </row>
    <row r="10208" spans="18:18" ht="13.8">
      <c r="R10208" s="10">
        <v>10180</v>
      </c>
    </row>
    <row r="10209" spans="18:18" ht="13.8">
      <c r="R10209" s="10">
        <v>10181</v>
      </c>
    </row>
    <row r="10210" spans="18:18" ht="13.8">
      <c r="R10210" s="10">
        <v>10182</v>
      </c>
    </row>
    <row r="10211" spans="18:18" ht="13.8">
      <c r="R10211" s="10">
        <v>10183</v>
      </c>
    </row>
    <row r="10212" spans="18:18" ht="13.8">
      <c r="R10212" s="10">
        <v>10184</v>
      </c>
    </row>
    <row r="10213" spans="18:18" ht="13.8">
      <c r="R10213" s="10">
        <v>10185</v>
      </c>
    </row>
    <row r="10214" spans="18:18" ht="13.8">
      <c r="R10214" s="10">
        <v>10186</v>
      </c>
    </row>
    <row r="10215" spans="18:18" ht="13.8">
      <c r="R10215" s="10">
        <v>10187</v>
      </c>
    </row>
    <row r="10216" spans="18:18" ht="13.8">
      <c r="R10216" s="10">
        <v>10188</v>
      </c>
    </row>
    <row r="10217" spans="18:18" ht="13.8">
      <c r="R10217" s="10">
        <v>10189</v>
      </c>
    </row>
    <row r="10218" spans="18:18" ht="13.8">
      <c r="R10218" s="10">
        <v>10190</v>
      </c>
    </row>
    <row r="10219" spans="18:18" ht="13.8">
      <c r="R10219" s="10">
        <v>10191</v>
      </c>
    </row>
    <row r="10220" spans="18:18" ht="13.8">
      <c r="R10220" s="10">
        <v>10192</v>
      </c>
    </row>
    <row r="10221" spans="18:18" ht="13.8">
      <c r="R10221" s="10">
        <v>10193</v>
      </c>
    </row>
    <row r="10222" spans="18:18" ht="13.8">
      <c r="R10222" s="10">
        <v>10194</v>
      </c>
    </row>
    <row r="10223" spans="18:18" ht="13.8">
      <c r="R10223" s="10">
        <v>10195</v>
      </c>
    </row>
    <row r="10224" spans="18:18" ht="13.8">
      <c r="R10224" s="10">
        <v>10196</v>
      </c>
    </row>
    <row r="10225" spans="18:18" ht="13.8">
      <c r="R10225" s="10">
        <v>10197</v>
      </c>
    </row>
    <row r="10226" spans="18:18" ht="13.8">
      <c r="R10226" s="10">
        <v>10198</v>
      </c>
    </row>
    <row r="10227" spans="18:18" ht="13.8">
      <c r="R10227" s="10">
        <v>10199</v>
      </c>
    </row>
    <row r="10228" spans="18:18" ht="13.8">
      <c r="R10228" s="10">
        <v>10200</v>
      </c>
    </row>
    <row r="10229" spans="18:18" ht="13.8">
      <c r="R10229" s="10">
        <v>10201</v>
      </c>
    </row>
    <row r="10230" spans="18:18" ht="13.8">
      <c r="R10230" s="10">
        <v>10202</v>
      </c>
    </row>
    <row r="10231" spans="18:18" ht="13.8">
      <c r="R10231" s="10">
        <v>10203</v>
      </c>
    </row>
    <row r="10232" spans="18:18" ht="13.8">
      <c r="R10232" s="10">
        <v>10204</v>
      </c>
    </row>
    <row r="10233" spans="18:18" ht="13.8">
      <c r="R10233" s="10">
        <v>10205</v>
      </c>
    </row>
    <row r="10234" spans="18:18" ht="13.8">
      <c r="R10234" s="10">
        <v>10206</v>
      </c>
    </row>
    <row r="10235" spans="18:18" ht="13.8">
      <c r="R10235" s="10">
        <v>10207</v>
      </c>
    </row>
    <row r="10236" spans="18:18" ht="13.8">
      <c r="R10236" s="10">
        <v>10208</v>
      </c>
    </row>
    <row r="10237" spans="18:18" ht="13.8">
      <c r="R10237" s="10">
        <v>10209</v>
      </c>
    </row>
    <row r="10238" spans="18:18" ht="13.8">
      <c r="R10238" s="10">
        <v>10210</v>
      </c>
    </row>
    <row r="10239" spans="18:18" ht="13.8">
      <c r="R10239" s="10">
        <v>10211</v>
      </c>
    </row>
    <row r="10240" spans="18:18" ht="13.8">
      <c r="R10240" s="10">
        <v>10212</v>
      </c>
    </row>
    <row r="10241" spans="18:18" ht="13.8">
      <c r="R10241" s="10">
        <v>10213</v>
      </c>
    </row>
    <row r="10242" spans="18:18" ht="13.8">
      <c r="R10242" s="10">
        <v>10214</v>
      </c>
    </row>
    <row r="10243" spans="18:18" ht="13.8">
      <c r="R10243" s="10">
        <v>10215</v>
      </c>
    </row>
    <row r="10244" spans="18:18" ht="13.8">
      <c r="R10244" s="10">
        <v>10216</v>
      </c>
    </row>
    <row r="10245" spans="18:18" ht="13.8">
      <c r="R10245" s="10">
        <v>10217</v>
      </c>
    </row>
    <row r="10246" spans="18:18" ht="13.8">
      <c r="R10246" s="10">
        <v>10218</v>
      </c>
    </row>
    <row r="10247" spans="18:18" ht="13.8">
      <c r="R10247" s="10">
        <v>10219</v>
      </c>
    </row>
    <row r="10248" spans="18:18" ht="13.8">
      <c r="R10248" s="10">
        <v>10220</v>
      </c>
    </row>
    <row r="10249" spans="18:18" ht="13.8">
      <c r="R10249" s="10">
        <v>10221</v>
      </c>
    </row>
    <row r="10250" spans="18:18" ht="13.8">
      <c r="R10250" s="10">
        <v>10222</v>
      </c>
    </row>
    <row r="10251" spans="18:18" ht="13.8">
      <c r="R10251" s="10">
        <v>10223</v>
      </c>
    </row>
    <row r="10252" spans="18:18" ht="13.8">
      <c r="R10252" s="10">
        <v>10224</v>
      </c>
    </row>
    <row r="10253" spans="18:18" ht="13.8">
      <c r="R10253" s="10">
        <v>10225</v>
      </c>
    </row>
    <row r="10254" spans="18:18" ht="13.8">
      <c r="R10254" s="10">
        <v>10226</v>
      </c>
    </row>
    <row r="10255" spans="18:18" ht="13.8">
      <c r="R10255" s="10">
        <v>10227</v>
      </c>
    </row>
    <row r="10256" spans="18:18" ht="13.8">
      <c r="R10256" s="10">
        <v>10228</v>
      </c>
    </row>
    <row r="10257" spans="18:18" ht="13.8">
      <c r="R10257" s="10">
        <v>10229</v>
      </c>
    </row>
    <row r="10258" spans="18:18" ht="13.8">
      <c r="R10258" s="10">
        <v>10230</v>
      </c>
    </row>
    <row r="10259" spans="18:18" ht="13.8">
      <c r="R10259" s="10">
        <v>10231</v>
      </c>
    </row>
    <row r="10260" spans="18:18" ht="13.8">
      <c r="R10260" s="10">
        <v>10232</v>
      </c>
    </row>
    <row r="10261" spans="18:18" ht="13.8">
      <c r="R10261" s="10">
        <v>10233</v>
      </c>
    </row>
    <row r="10262" spans="18:18" ht="13.8">
      <c r="R10262" s="10">
        <v>10234</v>
      </c>
    </row>
    <row r="10263" spans="18:18" ht="13.8">
      <c r="R10263" s="10">
        <v>10235</v>
      </c>
    </row>
    <row r="10264" spans="18:18" ht="13.8">
      <c r="R10264" s="10">
        <v>10236</v>
      </c>
    </row>
    <row r="10265" spans="18:18" ht="13.8">
      <c r="R10265" s="10">
        <v>10237</v>
      </c>
    </row>
    <row r="10266" spans="18:18" ht="13.8">
      <c r="R10266" s="10">
        <v>10238</v>
      </c>
    </row>
    <row r="10267" spans="18:18" ht="13.8">
      <c r="R10267" s="10">
        <v>10239</v>
      </c>
    </row>
    <row r="10268" spans="18:18" ht="13.8">
      <c r="R10268" s="10">
        <v>10240</v>
      </c>
    </row>
    <row r="10269" spans="18:18" ht="13.8">
      <c r="R10269" s="10">
        <v>10241</v>
      </c>
    </row>
    <row r="10270" spans="18:18" ht="13.8">
      <c r="R10270" s="10">
        <v>10242</v>
      </c>
    </row>
    <row r="10271" spans="18:18" ht="13.8">
      <c r="R10271" s="10">
        <v>10243</v>
      </c>
    </row>
    <row r="10272" spans="18:18" ht="13.8">
      <c r="R10272" s="10">
        <v>10244</v>
      </c>
    </row>
    <row r="10273" spans="18:18" ht="13.8">
      <c r="R10273" s="10">
        <v>10245</v>
      </c>
    </row>
    <row r="10274" spans="18:18" ht="13.8">
      <c r="R10274" s="10">
        <v>10246</v>
      </c>
    </row>
    <row r="10275" spans="18:18" ht="13.8">
      <c r="R10275" s="10">
        <v>10247</v>
      </c>
    </row>
    <row r="10276" spans="18:18" ht="13.8">
      <c r="R10276" s="10">
        <v>10248</v>
      </c>
    </row>
    <row r="10277" spans="18:18" ht="13.8">
      <c r="R10277" s="10">
        <v>10249</v>
      </c>
    </row>
    <row r="10278" spans="18:18" ht="13.8">
      <c r="R10278" s="10">
        <v>10250</v>
      </c>
    </row>
    <row r="10279" spans="18:18" ht="13.8">
      <c r="R10279" s="10">
        <v>10251</v>
      </c>
    </row>
    <row r="10280" spans="18:18" ht="13.8">
      <c r="R10280" s="10">
        <v>10252</v>
      </c>
    </row>
    <row r="10281" spans="18:18" ht="13.8">
      <c r="R10281" s="10">
        <v>10253</v>
      </c>
    </row>
    <row r="10282" spans="18:18" ht="13.8">
      <c r="R10282" s="10">
        <v>10254</v>
      </c>
    </row>
    <row r="10283" spans="18:18" ht="13.8">
      <c r="R10283" s="10">
        <v>10255</v>
      </c>
    </row>
    <row r="10284" spans="18:18" ht="13.8">
      <c r="R10284" s="10">
        <v>10256</v>
      </c>
    </row>
    <row r="10285" spans="18:18" ht="13.8">
      <c r="R10285" s="10">
        <v>10257</v>
      </c>
    </row>
    <row r="10286" spans="18:18" ht="13.8">
      <c r="R10286" s="10">
        <v>10258</v>
      </c>
    </row>
    <row r="10287" spans="18:18" ht="13.8">
      <c r="R10287" s="10">
        <v>10259</v>
      </c>
    </row>
    <row r="10288" spans="18:18" ht="13.8">
      <c r="R10288" s="10">
        <v>10260</v>
      </c>
    </row>
    <row r="10289" spans="18:18" ht="13.8">
      <c r="R10289" s="10">
        <v>10261</v>
      </c>
    </row>
    <row r="10290" spans="18:18" ht="13.8">
      <c r="R10290" s="10">
        <v>10262</v>
      </c>
    </row>
    <row r="10291" spans="18:18" ht="13.8">
      <c r="R10291" s="10">
        <v>10263</v>
      </c>
    </row>
    <row r="10292" spans="18:18" ht="13.8">
      <c r="R10292" s="10">
        <v>10264</v>
      </c>
    </row>
    <row r="10293" spans="18:18" ht="13.8">
      <c r="R10293" s="10">
        <v>10265</v>
      </c>
    </row>
    <row r="10294" spans="18:18" ht="13.8">
      <c r="R10294" s="10">
        <v>10266</v>
      </c>
    </row>
    <row r="10295" spans="18:18" ht="13.8">
      <c r="R10295" s="10">
        <v>10267</v>
      </c>
    </row>
    <row r="10296" spans="18:18" ht="13.8">
      <c r="R10296" s="10">
        <v>10268</v>
      </c>
    </row>
    <row r="10297" spans="18:18" ht="13.8">
      <c r="R10297" s="10">
        <v>10269</v>
      </c>
    </row>
    <row r="10298" spans="18:18" ht="13.8">
      <c r="R10298" s="10">
        <v>10270</v>
      </c>
    </row>
    <row r="10299" spans="18:18" ht="13.8">
      <c r="R10299" s="10">
        <v>10271</v>
      </c>
    </row>
    <row r="10300" spans="18:18" ht="13.8">
      <c r="R10300" s="10">
        <v>10272</v>
      </c>
    </row>
    <row r="10301" spans="18:18" ht="13.8">
      <c r="R10301" s="10">
        <v>10273</v>
      </c>
    </row>
    <row r="10302" spans="18:18" ht="13.8">
      <c r="R10302" s="10">
        <v>10274</v>
      </c>
    </row>
    <row r="10303" spans="18:18" ht="13.8">
      <c r="R10303" s="10">
        <v>10275</v>
      </c>
    </row>
    <row r="10304" spans="18:18" ht="13.8">
      <c r="R10304" s="10">
        <v>10276</v>
      </c>
    </row>
    <row r="10305" spans="18:18" ht="13.8">
      <c r="R10305" s="10">
        <v>10277</v>
      </c>
    </row>
    <row r="10306" spans="18:18" ht="13.8">
      <c r="R10306" s="10">
        <v>10278</v>
      </c>
    </row>
    <row r="10307" spans="18:18" ht="13.8">
      <c r="R10307" s="10">
        <v>10279</v>
      </c>
    </row>
    <row r="10308" spans="18:18" ht="13.8">
      <c r="R10308" s="10">
        <v>10280</v>
      </c>
    </row>
    <row r="10309" spans="18:18" ht="13.8">
      <c r="R10309" s="10">
        <v>10281</v>
      </c>
    </row>
    <row r="10310" spans="18:18" ht="13.8">
      <c r="R10310" s="10">
        <v>10282</v>
      </c>
    </row>
    <row r="10311" spans="18:18" ht="13.8">
      <c r="R10311" s="10">
        <v>10283</v>
      </c>
    </row>
    <row r="10312" spans="18:18" ht="13.8">
      <c r="R10312" s="10">
        <v>10284</v>
      </c>
    </row>
    <row r="10313" spans="18:18" ht="13.8">
      <c r="R10313" s="10">
        <v>10285</v>
      </c>
    </row>
    <row r="10314" spans="18:18" ht="13.8">
      <c r="R10314" s="10">
        <v>10286</v>
      </c>
    </row>
    <row r="10315" spans="18:18" ht="13.8">
      <c r="R10315" s="10">
        <v>10287</v>
      </c>
    </row>
    <row r="10316" spans="18:18" ht="13.8">
      <c r="R10316" s="10">
        <v>10288</v>
      </c>
    </row>
    <row r="10317" spans="18:18" ht="13.8">
      <c r="R10317" s="10">
        <v>10289</v>
      </c>
    </row>
    <row r="10318" spans="18:18" ht="13.8">
      <c r="R10318" s="10">
        <v>10290</v>
      </c>
    </row>
    <row r="10319" spans="18:18" ht="13.8">
      <c r="R10319" s="10">
        <v>10291</v>
      </c>
    </row>
    <row r="10320" spans="18:18" ht="13.8">
      <c r="R10320" s="10">
        <v>10292</v>
      </c>
    </row>
    <row r="10321" spans="18:18" ht="13.8">
      <c r="R10321" s="10">
        <v>10293</v>
      </c>
    </row>
    <row r="10322" spans="18:18" ht="13.8">
      <c r="R10322" s="10">
        <v>10294</v>
      </c>
    </row>
    <row r="10323" spans="18:18" ht="13.8">
      <c r="R10323" s="10">
        <v>10295</v>
      </c>
    </row>
    <row r="10324" spans="18:18" ht="13.8">
      <c r="R10324" s="10">
        <v>10296</v>
      </c>
    </row>
    <row r="10325" spans="18:18" ht="13.8">
      <c r="R10325" s="10">
        <v>10297</v>
      </c>
    </row>
    <row r="10326" spans="18:18" ht="13.8">
      <c r="R10326" s="10">
        <v>10298</v>
      </c>
    </row>
    <row r="10327" spans="18:18" ht="13.8">
      <c r="R10327" s="10">
        <v>10299</v>
      </c>
    </row>
    <row r="10328" spans="18:18" ht="13.8">
      <c r="R10328" s="10">
        <v>10300</v>
      </c>
    </row>
    <row r="10329" spans="18:18" ht="13.8">
      <c r="R10329" s="10">
        <v>10301</v>
      </c>
    </row>
    <row r="10330" spans="18:18" ht="13.8">
      <c r="R10330" s="10">
        <v>10302</v>
      </c>
    </row>
    <row r="10331" spans="18:18" ht="13.8">
      <c r="R10331" s="10">
        <v>10303</v>
      </c>
    </row>
    <row r="10332" spans="18:18" ht="13.8">
      <c r="R10332" s="10">
        <v>10304</v>
      </c>
    </row>
    <row r="10333" spans="18:18" ht="13.8">
      <c r="R10333" s="10">
        <v>10305</v>
      </c>
    </row>
    <row r="10334" spans="18:18" ht="13.8">
      <c r="R10334" s="10">
        <v>10306</v>
      </c>
    </row>
    <row r="10335" spans="18:18" ht="13.8">
      <c r="R10335" s="10">
        <v>10307</v>
      </c>
    </row>
    <row r="10336" spans="18:18" ht="13.8">
      <c r="R10336" s="10">
        <v>10308</v>
      </c>
    </row>
    <row r="10337" spans="18:18" ht="13.8">
      <c r="R10337" s="10">
        <v>10309</v>
      </c>
    </row>
    <row r="10338" spans="18:18" ht="13.8">
      <c r="R10338" s="10">
        <v>10310</v>
      </c>
    </row>
    <row r="10339" spans="18:18" ht="13.8">
      <c r="R10339" s="10">
        <v>10311</v>
      </c>
    </row>
    <row r="10340" spans="18:18" ht="13.8">
      <c r="R10340" s="10">
        <v>10312</v>
      </c>
    </row>
    <row r="10341" spans="18:18" ht="13.8">
      <c r="R10341" s="10">
        <v>10313</v>
      </c>
    </row>
    <row r="10342" spans="18:18" ht="13.8">
      <c r="R10342" s="10">
        <v>10314</v>
      </c>
    </row>
    <row r="10343" spans="18:18" ht="13.8">
      <c r="R10343" s="10">
        <v>10315</v>
      </c>
    </row>
    <row r="10344" spans="18:18" ht="13.8">
      <c r="R10344" s="10">
        <v>10316</v>
      </c>
    </row>
    <row r="10345" spans="18:18" ht="13.8">
      <c r="R10345" s="10">
        <v>10317</v>
      </c>
    </row>
    <row r="10346" spans="18:18" ht="13.8">
      <c r="R10346" s="10">
        <v>10318</v>
      </c>
    </row>
    <row r="10347" spans="18:18" ht="13.8">
      <c r="R10347" s="10">
        <v>10319</v>
      </c>
    </row>
    <row r="10348" spans="18:18" ht="13.8">
      <c r="R10348" s="10">
        <v>10320</v>
      </c>
    </row>
    <row r="10349" spans="18:18" ht="13.8">
      <c r="R10349" s="10">
        <v>10321</v>
      </c>
    </row>
    <row r="10350" spans="18:18" ht="13.8">
      <c r="R10350" s="10">
        <v>10322</v>
      </c>
    </row>
    <row r="10351" spans="18:18" ht="13.8">
      <c r="R10351" s="10">
        <v>10323</v>
      </c>
    </row>
    <row r="10352" spans="18:18" ht="13.8">
      <c r="R10352" s="10">
        <v>10324</v>
      </c>
    </row>
    <row r="10353" spans="18:18" ht="13.8">
      <c r="R10353" s="10">
        <v>10325</v>
      </c>
    </row>
    <row r="10354" spans="18:18" ht="13.8">
      <c r="R10354" s="10">
        <v>10326</v>
      </c>
    </row>
    <row r="10355" spans="18:18" ht="13.8">
      <c r="R10355" s="10">
        <v>10327</v>
      </c>
    </row>
    <row r="10356" spans="18:18" ht="13.8">
      <c r="R10356" s="10">
        <v>10328</v>
      </c>
    </row>
    <row r="10357" spans="18:18" ht="13.8">
      <c r="R10357" s="10">
        <v>10329</v>
      </c>
    </row>
    <row r="10358" spans="18:18" ht="13.8">
      <c r="R10358" s="10">
        <v>10330</v>
      </c>
    </row>
    <row r="10359" spans="18:18" ht="13.8">
      <c r="R10359" s="10">
        <v>10331</v>
      </c>
    </row>
    <row r="10360" spans="18:18" ht="13.8">
      <c r="R10360" s="10">
        <v>10332</v>
      </c>
    </row>
    <row r="10361" spans="18:18" ht="13.8">
      <c r="R10361" s="10">
        <v>10333</v>
      </c>
    </row>
    <row r="10362" spans="18:18" ht="13.8">
      <c r="R10362" s="10">
        <v>10334</v>
      </c>
    </row>
    <row r="10363" spans="18:18" ht="13.8">
      <c r="R10363" s="10">
        <v>10335</v>
      </c>
    </row>
    <row r="10364" spans="18:18" ht="13.8">
      <c r="R10364" s="10">
        <v>10336</v>
      </c>
    </row>
    <row r="10365" spans="18:18" ht="13.8">
      <c r="R10365" s="10">
        <v>10337</v>
      </c>
    </row>
    <row r="10366" spans="18:18" ht="13.8">
      <c r="R10366" s="10">
        <v>10338</v>
      </c>
    </row>
    <row r="10367" spans="18:18" ht="13.8">
      <c r="R10367" s="10">
        <v>10339</v>
      </c>
    </row>
    <row r="10368" spans="18:18" ht="13.8">
      <c r="R10368" s="10">
        <v>10340</v>
      </c>
    </row>
    <row r="10369" spans="18:18" ht="13.8">
      <c r="R10369" s="10">
        <v>10341</v>
      </c>
    </row>
    <row r="10370" spans="18:18" ht="13.8">
      <c r="R10370" s="10">
        <v>10342</v>
      </c>
    </row>
    <row r="10371" spans="18:18" ht="13.8">
      <c r="R10371" s="10">
        <v>10343</v>
      </c>
    </row>
    <row r="10372" spans="18:18" ht="13.8">
      <c r="R10372" s="10">
        <v>10344</v>
      </c>
    </row>
    <row r="10373" spans="18:18" ht="13.8">
      <c r="R10373" s="10">
        <v>10345</v>
      </c>
    </row>
    <row r="10374" spans="18:18" ht="13.8">
      <c r="R10374" s="10">
        <v>10346</v>
      </c>
    </row>
    <row r="10375" spans="18:18" ht="13.8">
      <c r="R10375" s="10">
        <v>10347</v>
      </c>
    </row>
    <row r="10376" spans="18:18" ht="13.8">
      <c r="R10376" s="10">
        <v>10348</v>
      </c>
    </row>
    <row r="10377" spans="18:18" ht="13.8">
      <c r="R10377" s="10">
        <v>10349</v>
      </c>
    </row>
    <row r="10378" spans="18:18" ht="13.8">
      <c r="R10378" s="10">
        <v>10350</v>
      </c>
    </row>
    <row r="10379" spans="18:18" ht="13.8">
      <c r="R10379" s="10">
        <v>10351</v>
      </c>
    </row>
    <row r="10380" spans="18:18" ht="13.8">
      <c r="R10380" s="10">
        <v>10352</v>
      </c>
    </row>
    <row r="10381" spans="18:18" ht="13.8">
      <c r="R10381" s="10">
        <v>10353</v>
      </c>
    </row>
    <row r="10382" spans="18:18" ht="13.8">
      <c r="R10382" s="10">
        <v>10354</v>
      </c>
    </row>
    <row r="10383" spans="18:18" ht="13.8">
      <c r="R10383" s="10">
        <v>10355</v>
      </c>
    </row>
    <row r="10384" spans="18:18" ht="13.8">
      <c r="R10384" s="10">
        <v>10356</v>
      </c>
    </row>
    <row r="10385" spans="18:18" ht="13.8">
      <c r="R10385" s="10">
        <v>10357</v>
      </c>
    </row>
    <row r="10386" spans="18:18" ht="13.8">
      <c r="R10386" s="10">
        <v>10358</v>
      </c>
    </row>
    <row r="10387" spans="18:18" ht="13.8">
      <c r="R10387" s="10">
        <v>10359</v>
      </c>
    </row>
    <row r="10388" spans="18:18" ht="13.8">
      <c r="R10388" s="10">
        <v>10360</v>
      </c>
    </row>
    <row r="10389" spans="18:18" ht="13.8">
      <c r="R10389" s="10">
        <v>10361</v>
      </c>
    </row>
    <row r="10390" spans="18:18" ht="13.8">
      <c r="R10390" s="10">
        <v>10362</v>
      </c>
    </row>
    <row r="10391" spans="18:18" ht="13.8">
      <c r="R10391" s="10">
        <v>10363</v>
      </c>
    </row>
    <row r="10392" spans="18:18" ht="13.8">
      <c r="R10392" s="10">
        <v>10364</v>
      </c>
    </row>
    <row r="10393" spans="18:18" ht="13.8">
      <c r="R10393" s="10">
        <v>10365</v>
      </c>
    </row>
    <row r="10394" spans="18:18" ht="13.8">
      <c r="R10394" s="10">
        <v>10366</v>
      </c>
    </row>
    <row r="10395" spans="18:18" ht="13.8">
      <c r="R10395" s="10">
        <v>10367</v>
      </c>
    </row>
    <row r="10396" spans="18:18" ht="13.8">
      <c r="R10396" s="10">
        <v>10368</v>
      </c>
    </row>
    <row r="10397" spans="18:18" ht="13.8">
      <c r="R10397" s="10">
        <v>10369</v>
      </c>
    </row>
    <row r="10398" spans="18:18" ht="13.8">
      <c r="R10398" s="10">
        <v>10370</v>
      </c>
    </row>
    <row r="10399" spans="18:18" ht="13.8">
      <c r="R10399" s="10">
        <v>10371</v>
      </c>
    </row>
    <row r="10400" spans="18:18" ht="13.8">
      <c r="R10400" s="10">
        <v>10372</v>
      </c>
    </row>
    <row r="10401" spans="18:18" ht="13.8">
      <c r="R10401" s="10">
        <v>10373</v>
      </c>
    </row>
    <row r="10402" spans="18:18" ht="13.8">
      <c r="R10402" s="10">
        <v>10374</v>
      </c>
    </row>
    <row r="10403" spans="18:18" ht="13.8">
      <c r="R10403" s="10">
        <v>10375</v>
      </c>
    </row>
    <row r="10404" spans="18:18" ht="13.8">
      <c r="R10404" s="10">
        <v>10376</v>
      </c>
    </row>
    <row r="10405" spans="18:18" ht="13.8">
      <c r="R10405" s="10">
        <v>10377</v>
      </c>
    </row>
    <row r="10406" spans="18:18" ht="13.8">
      <c r="R10406" s="10">
        <v>10378</v>
      </c>
    </row>
    <row r="10407" spans="18:18" ht="13.8">
      <c r="R10407" s="10">
        <v>10379</v>
      </c>
    </row>
    <row r="10408" spans="18:18" ht="13.8">
      <c r="R10408" s="10">
        <v>10380</v>
      </c>
    </row>
    <row r="10409" spans="18:18" ht="13.8">
      <c r="R10409" s="10">
        <v>10381</v>
      </c>
    </row>
    <row r="10410" spans="18:18" ht="13.8">
      <c r="R10410" s="10">
        <v>10382</v>
      </c>
    </row>
    <row r="10411" spans="18:18" ht="13.8">
      <c r="R10411" s="10">
        <v>10383</v>
      </c>
    </row>
    <row r="10412" spans="18:18" ht="13.8">
      <c r="R10412" s="10">
        <v>10384</v>
      </c>
    </row>
    <row r="10413" spans="18:18" ht="13.8">
      <c r="R10413" s="10">
        <v>10385</v>
      </c>
    </row>
    <row r="10414" spans="18:18" ht="13.8">
      <c r="R10414" s="10">
        <v>10386</v>
      </c>
    </row>
    <row r="10415" spans="18:18" ht="13.8">
      <c r="R10415" s="10">
        <v>10387</v>
      </c>
    </row>
    <row r="10416" spans="18:18" ht="13.8">
      <c r="R10416" s="10">
        <v>10388</v>
      </c>
    </row>
    <row r="10417" spans="18:18" ht="13.8">
      <c r="R10417" s="10">
        <v>10389</v>
      </c>
    </row>
    <row r="10418" spans="18:18" ht="13.8">
      <c r="R10418" s="10">
        <v>10390</v>
      </c>
    </row>
    <row r="10419" spans="18:18" ht="13.8">
      <c r="R10419" s="10">
        <v>10391</v>
      </c>
    </row>
    <row r="10420" spans="18:18" ht="13.8">
      <c r="R10420" s="10">
        <v>10392</v>
      </c>
    </row>
    <row r="10421" spans="18:18" ht="13.8">
      <c r="R10421" s="10">
        <v>10393</v>
      </c>
    </row>
    <row r="10422" spans="18:18" ht="13.8">
      <c r="R10422" s="10">
        <v>10394</v>
      </c>
    </row>
    <row r="10423" spans="18:18" ht="13.8">
      <c r="R10423" s="10">
        <v>10395</v>
      </c>
    </row>
    <row r="10424" spans="18:18" ht="13.8">
      <c r="R10424" s="10">
        <v>10396</v>
      </c>
    </row>
    <row r="10425" spans="18:18" ht="13.8">
      <c r="R10425" s="10">
        <v>10397</v>
      </c>
    </row>
    <row r="10426" spans="18:18" ht="13.8">
      <c r="R10426" s="10">
        <v>10398</v>
      </c>
    </row>
    <row r="10427" spans="18:18" ht="13.8">
      <c r="R10427" s="10">
        <v>10399</v>
      </c>
    </row>
    <row r="10428" spans="18:18" ht="13.8">
      <c r="R10428" s="10">
        <v>10400</v>
      </c>
    </row>
    <row r="10429" spans="18:18" ht="13.8">
      <c r="R10429" s="10">
        <v>10401</v>
      </c>
    </row>
    <row r="10430" spans="18:18" ht="13.8">
      <c r="R10430" s="10">
        <v>10402</v>
      </c>
    </row>
    <row r="10431" spans="18:18" ht="13.8">
      <c r="R10431" s="10">
        <v>10403</v>
      </c>
    </row>
    <row r="10432" spans="18:18" ht="13.8">
      <c r="R10432" s="10">
        <v>10404</v>
      </c>
    </row>
    <row r="10433" spans="18:18" ht="13.8">
      <c r="R10433" s="10">
        <v>10405</v>
      </c>
    </row>
    <row r="10434" spans="18:18" ht="13.8">
      <c r="R10434" s="10">
        <v>10406</v>
      </c>
    </row>
    <row r="10435" spans="18:18" ht="13.8">
      <c r="R10435" s="10">
        <v>10407</v>
      </c>
    </row>
    <row r="10436" spans="18:18" ht="13.8">
      <c r="R10436" s="10">
        <v>10408</v>
      </c>
    </row>
    <row r="10437" spans="18:18" ht="13.8">
      <c r="R10437" s="10">
        <v>10409</v>
      </c>
    </row>
    <row r="10438" spans="18:18" ht="13.8">
      <c r="R10438" s="10">
        <v>10410</v>
      </c>
    </row>
    <row r="10439" spans="18:18" ht="13.8">
      <c r="R10439" s="10">
        <v>10411</v>
      </c>
    </row>
    <row r="10440" spans="18:18" ht="13.8">
      <c r="R10440" s="10">
        <v>10412</v>
      </c>
    </row>
    <row r="10441" spans="18:18" ht="13.8">
      <c r="R10441" s="10">
        <v>10413</v>
      </c>
    </row>
    <row r="10442" spans="18:18" ht="13.8">
      <c r="R10442" s="10">
        <v>10414</v>
      </c>
    </row>
    <row r="10443" spans="18:18" ht="13.8">
      <c r="R10443" s="10">
        <v>10415</v>
      </c>
    </row>
    <row r="10444" spans="18:18" ht="13.8">
      <c r="R10444" s="10">
        <v>10416</v>
      </c>
    </row>
    <row r="10445" spans="18:18" ht="13.8">
      <c r="R10445" s="10">
        <v>10417</v>
      </c>
    </row>
    <row r="10446" spans="18:18" ht="13.8">
      <c r="R10446" s="10">
        <v>10418</v>
      </c>
    </row>
    <row r="10447" spans="18:18" ht="13.8">
      <c r="R10447" s="10">
        <v>10419</v>
      </c>
    </row>
    <row r="10448" spans="18:18" ht="13.8">
      <c r="R10448" s="10">
        <v>10420</v>
      </c>
    </row>
    <row r="10449" spans="18:18" ht="13.8">
      <c r="R10449" s="10">
        <v>10421</v>
      </c>
    </row>
    <row r="10450" spans="18:18" ht="13.8">
      <c r="R10450" s="10">
        <v>10422</v>
      </c>
    </row>
    <row r="10451" spans="18:18" ht="13.8">
      <c r="R10451" s="10">
        <v>10423</v>
      </c>
    </row>
    <row r="10452" spans="18:18" ht="13.8">
      <c r="R10452" s="10">
        <v>10424</v>
      </c>
    </row>
    <row r="10453" spans="18:18" ht="13.8">
      <c r="R10453" s="10">
        <v>10425</v>
      </c>
    </row>
    <row r="10454" spans="18:18" ht="13.8">
      <c r="R10454" s="10">
        <v>10426</v>
      </c>
    </row>
    <row r="10455" spans="18:18" ht="13.8">
      <c r="R10455" s="10">
        <v>10427</v>
      </c>
    </row>
    <row r="10456" spans="18:18" ht="13.8">
      <c r="R10456" s="10">
        <v>10428</v>
      </c>
    </row>
    <row r="10457" spans="18:18" ht="13.8">
      <c r="R10457" s="10">
        <v>10429</v>
      </c>
    </row>
    <row r="10458" spans="18:18" ht="13.8">
      <c r="R10458" s="10">
        <v>10430</v>
      </c>
    </row>
    <row r="10459" spans="18:18" ht="13.8">
      <c r="R10459" s="10">
        <v>10431</v>
      </c>
    </row>
    <row r="10460" spans="18:18" ht="13.8">
      <c r="R10460" s="10">
        <v>10432</v>
      </c>
    </row>
    <row r="10461" spans="18:18" ht="13.8">
      <c r="R10461" s="10">
        <v>10433</v>
      </c>
    </row>
    <row r="10462" spans="18:18" ht="13.8">
      <c r="R10462" s="10">
        <v>10434</v>
      </c>
    </row>
    <row r="10463" spans="18:18" ht="13.8">
      <c r="R10463" s="10">
        <v>10435</v>
      </c>
    </row>
    <row r="10464" spans="18:18" ht="13.8">
      <c r="R10464" s="10">
        <v>10436</v>
      </c>
    </row>
    <row r="10465" spans="18:18" ht="13.8">
      <c r="R10465" s="10">
        <v>10437</v>
      </c>
    </row>
    <row r="10466" spans="18:18" ht="13.8">
      <c r="R10466" s="10">
        <v>10438</v>
      </c>
    </row>
    <row r="10467" spans="18:18" ht="13.8">
      <c r="R10467" s="10">
        <v>10439</v>
      </c>
    </row>
    <row r="10468" spans="18:18" ht="13.8">
      <c r="R10468" s="10">
        <v>10440</v>
      </c>
    </row>
    <row r="10469" spans="18:18" ht="13.8">
      <c r="R10469" s="10">
        <v>10441</v>
      </c>
    </row>
    <row r="10470" spans="18:18" ht="13.8">
      <c r="R10470" s="10">
        <v>10442</v>
      </c>
    </row>
    <row r="10471" spans="18:18" ht="13.8">
      <c r="R10471" s="10">
        <v>10443</v>
      </c>
    </row>
    <row r="10472" spans="18:18" ht="13.8">
      <c r="R10472" s="10">
        <v>10444</v>
      </c>
    </row>
    <row r="10473" spans="18:18" ht="13.8">
      <c r="R10473" s="10">
        <v>10445</v>
      </c>
    </row>
    <row r="10474" spans="18:18" ht="13.8">
      <c r="R10474" s="10">
        <v>10446</v>
      </c>
    </row>
    <row r="10475" spans="18:18" ht="13.8">
      <c r="R10475" s="10">
        <v>10447</v>
      </c>
    </row>
    <row r="10476" spans="18:18" ht="13.8">
      <c r="R10476" s="10">
        <v>10448</v>
      </c>
    </row>
    <row r="10477" spans="18:18" ht="13.8">
      <c r="R10477" s="10">
        <v>10449</v>
      </c>
    </row>
    <row r="10478" spans="18:18" ht="13.8">
      <c r="R10478" s="10">
        <v>10450</v>
      </c>
    </row>
    <row r="10479" spans="18:18" ht="13.8">
      <c r="R10479" s="10">
        <v>10451</v>
      </c>
    </row>
    <row r="10480" spans="18:18" ht="13.8">
      <c r="R10480" s="10">
        <v>10452</v>
      </c>
    </row>
    <row r="10481" spans="18:18" ht="13.8">
      <c r="R10481" s="10">
        <v>10453</v>
      </c>
    </row>
    <row r="10482" spans="18:18" ht="13.8">
      <c r="R10482" s="10">
        <v>10454</v>
      </c>
    </row>
    <row r="10483" spans="18:18" ht="13.8">
      <c r="R10483" s="10">
        <v>10455</v>
      </c>
    </row>
    <row r="10484" spans="18:18" ht="13.8">
      <c r="R10484" s="10">
        <v>10456</v>
      </c>
    </row>
    <row r="10485" spans="18:18" ht="13.8">
      <c r="R10485" s="10">
        <v>10457</v>
      </c>
    </row>
    <row r="10486" spans="18:18" ht="13.8">
      <c r="R10486" s="10">
        <v>10458</v>
      </c>
    </row>
    <row r="10487" spans="18:18" ht="13.8">
      <c r="R10487" s="10">
        <v>10459</v>
      </c>
    </row>
    <row r="10488" spans="18:18" ht="13.8">
      <c r="R10488" s="10">
        <v>10460</v>
      </c>
    </row>
    <row r="10489" spans="18:18" ht="13.8">
      <c r="R10489" s="10">
        <v>10461</v>
      </c>
    </row>
    <row r="10490" spans="18:18" ht="13.8">
      <c r="R10490" s="10">
        <v>10462</v>
      </c>
    </row>
    <row r="10491" spans="18:18" ht="13.8">
      <c r="R10491" s="10">
        <v>10463</v>
      </c>
    </row>
    <row r="10492" spans="18:18" ht="13.8">
      <c r="R10492" s="10">
        <v>10464</v>
      </c>
    </row>
    <row r="10493" spans="18:18" ht="13.8">
      <c r="R10493" s="10">
        <v>10465</v>
      </c>
    </row>
    <row r="10494" spans="18:18" ht="13.8">
      <c r="R10494" s="10">
        <v>10466</v>
      </c>
    </row>
    <row r="10495" spans="18:18" ht="13.8">
      <c r="R10495" s="10">
        <v>10467</v>
      </c>
    </row>
    <row r="10496" spans="18:18" ht="13.8">
      <c r="R10496" s="10">
        <v>10468</v>
      </c>
    </row>
    <row r="10497" spans="18:18" ht="13.8">
      <c r="R10497" s="10">
        <v>10469</v>
      </c>
    </row>
    <row r="10498" spans="18:18" ht="13.8">
      <c r="R10498" s="10">
        <v>10470</v>
      </c>
    </row>
    <row r="10499" spans="18:18" ht="13.8">
      <c r="R10499" s="10">
        <v>10471</v>
      </c>
    </row>
    <row r="10500" spans="18:18" ht="13.8">
      <c r="R10500" s="10">
        <v>10472</v>
      </c>
    </row>
    <row r="10501" spans="18:18" ht="13.8">
      <c r="R10501" s="10">
        <v>10473</v>
      </c>
    </row>
    <row r="10502" spans="18:18" ht="13.8">
      <c r="R10502" s="10">
        <v>10474</v>
      </c>
    </row>
    <row r="10503" spans="18:18" ht="13.8">
      <c r="R10503" s="10">
        <v>10475</v>
      </c>
    </row>
    <row r="10504" spans="18:18" ht="13.8">
      <c r="R10504" s="10">
        <v>10476</v>
      </c>
    </row>
    <row r="10505" spans="18:18" ht="13.8">
      <c r="R10505" s="10">
        <v>10477</v>
      </c>
    </row>
    <row r="10506" spans="18:18" ht="13.8">
      <c r="R10506" s="10">
        <v>10478</v>
      </c>
    </row>
    <row r="10507" spans="18:18" ht="13.8">
      <c r="R10507" s="10">
        <v>10479</v>
      </c>
    </row>
    <row r="10508" spans="18:18" ht="13.8">
      <c r="R10508" s="10">
        <v>10480</v>
      </c>
    </row>
    <row r="10509" spans="18:18" ht="13.8">
      <c r="R10509" s="10">
        <v>10481</v>
      </c>
    </row>
    <row r="10510" spans="18:18" ht="13.8">
      <c r="R10510" s="10">
        <v>10482</v>
      </c>
    </row>
    <row r="10511" spans="18:18" ht="13.8">
      <c r="R10511" s="10">
        <v>10483</v>
      </c>
    </row>
    <row r="10512" spans="18:18" ht="13.8">
      <c r="R10512" s="10">
        <v>10484</v>
      </c>
    </row>
    <row r="10513" spans="18:18" ht="13.8">
      <c r="R10513" s="10">
        <v>10485</v>
      </c>
    </row>
    <row r="10514" spans="18:18" ht="13.8">
      <c r="R10514" s="10">
        <v>10486</v>
      </c>
    </row>
    <row r="10515" spans="18:18" ht="13.8">
      <c r="R10515" s="10">
        <v>10487</v>
      </c>
    </row>
    <row r="10516" spans="18:18" ht="13.8">
      <c r="R10516" s="10">
        <v>10488</v>
      </c>
    </row>
    <row r="10517" spans="18:18" ht="13.8">
      <c r="R10517" s="10">
        <v>10489</v>
      </c>
    </row>
    <row r="10518" spans="18:18" ht="13.8">
      <c r="R10518" s="10">
        <v>10490</v>
      </c>
    </row>
    <row r="10519" spans="18:18" ht="13.8">
      <c r="R10519" s="10">
        <v>10491</v>
      </c>
    </row>
    <row r="10520" spans="18:18" ht="13.8">
      <c r="R10520" s="10">
        <v>10492</v>
      </c>
    </row>
    <row r="10521" spans="18:18" ht="13.8">
      <c r="R10521" s="10">
        <v>10493</v>
      </c>
    </row>
    <row r="10522" spans="18:18" ht="13.8">
      <c r="R10522" s="10">
        <v>10494</v>
      </c>
    </row>
    <row r="10523" spans="18:18" ht="13.8">
      <c r="R10523" s="10">
        <v>10495</v>
      </c>
    </row>
    <row r="10524" spans="18:18" ht="13.8">
      <c r="R10524" s="10">
        <v>10496</v>
      </c>
    </row>
    <row r="10525" spans="18:18" ht="13.8">
      <c r="R10525" s="10">
        <v>10497</v>
      </c>
    </row>
    <row r="10526" spans="18:18" ht="13.8">
      <c r="R10526" s="10">
        <v>10498</v>
      </c>
    </row>
    <row r="10527" spans="18:18" ht="13.8">
      <c r="R10527" s="10">
        <v>10499</v>
      </c>
    </row>
    <row r="10528" spans="18:18" ht="13.8">
      <c r="R10528" s="10">
        <v>10500</v>
      </c>
    </row>
    <row r="10529" spans="18:18" ht="13.8">
      <c r="R10529" s="10">
        <v>10501</v>
      </c>
    </row>
    <row r="10530" spans="18:18" ht="13.8">
      <c r="R10530" s="10">
        <v>10502</v>
      </c>
    </row>
    <row r="10531" spans="18:18" ht="13.8">
      <c r="R10531" s="10">
        <v>10503</v>
      </c>
    </row>
    <row r="10532" spans="18:18" ht="13.8">
      <c r="R10532" s="10">
        <v>10504</v>
      </c>
    </row>
    <row r="10533" spans="18:18" ht="13.8">
      <c r="R10533" s="10">
        <v>10505</v>
      </c>
    </row>
    <row r="10534" spans="18:18" ht="13.8">
      <c r="R10534" s="10">
        <v>10506</v>
      </c>
    </row>
    <row r="10535" spans="18:18" ht="13.8">
      <c r="R10535" s="10">
        <v>10507</v>
      </c>
    </row>
    <row r="10536" spans="18:18" ht="13.8">
      <c r="R10536" s="10">
        <v>10508</v>
      </c>
    </row>
    <row r="10537" spans="18:18" ht="13.8">
      <c r="R10537" s="10">
        <v>10509</v>
      </c>
    </row>
    <row r="10538" spans="18:18" ht="13.8">
      <c r="R10538" s="10">
        <v>10510</v>
      </c>
    </row>
    <row r="10539" spans="18:18" ht="13.8">
      <c r="R10539" s="10">
        <v>10511</v>
      </c>
    </row>
    <row r="10540" spans="18:18" ht="13.8">
      <c r="R10540" s="10">
        <v>10512</v>
      </c>
    </row>
    <row r="10541" spans="18:18" ht="13.8">
      <c r="R10541" s="10">
        <v>10513</v>
      </c>
    </row>
    <row r="10542" spans="18:18" ht="13.8">
      <c r="R10542" s="10">
        <v>10514</v>
      </c>
    </row>
    <row r="10543" spans="18:18" ht="13.8">
      <c r="R10543" s="10">
        <v>10515</v>
      </c>
    </row>
    <row r="10544" spans="18:18" ht="13.8">
      <c r="R10544" s="10">
        <v>10516</v>
      </c>
    </row>
    <row r="10545" spans="18:18" ht="13.8">
      <c r="R10545" s="10">
        <v>10517</v>
      </c>
    </row>
    <row r="10546" spans="18:18" ht="13.8">
      <c r="R10546" s="10">
        <v>10518</v>
      </c>
    </row>
    <row r="10547" spans="18:18" ht="13.8">
      <c r="R10547" s="10">
        <v>10519</v>
      </c>
    </row>
    <row r="10548" spans="18:18" ht="13.8">
      <c r="R10548" s="10">
        <v>10520</v>
      </c>
    </row>
    <row r="10549" spans="18:18" ht="13.8">
      <c r="R10549" s="10">
        <v>10521</v>
      </c>
    </row>
    <row r="10550" spans="18:18" ht="13.8">
      <c r="R10550" s="10">
        <v>10522</v>
      </c>
    </row>
    <row r="10551" spans="18:18" ht="13.8">
      <c r="R10551" s="10">
        <v>10523</v>
      </c>
    </row>
    <row r="10552" spans="18:18" ht="13.8">
      <c r="R10552" s="10">
        <v>10524</v>
      </c>
    </row>
    <row r="10553" spans="18:18" ht="13.8">
      <c r="R10553" s="10">
        <v>10525</v>
      </c>
    </row>
    <row r="10554" spans="18:18" ht="13.8">
      <c r="R10554" s="10">
        <v>10526</v>
      </c>
    </row>
    <row r="10555" spans="18:18" ht="13.8">
      <c r="R10555" s="10">
        <v>10527</v>
      </c>
    </row>
    <row r="10556" spans="18:18" ht="13.8">
      <c r="R10556" s="10">
        <v>10528</v>
      </c>
    </row>
    <row r="10557" spans="18:18" ht="13.8">
      <c r="R10557" s="10">
        <v>10529</v>
      </c>
    </row>
    <row r="10558" spans="18:18" ht="13.8">
      <c r="R10558" s="10">
        <v>10530</v>
      </c>
    </row>
    <row r="10559" spans="18:18" ht="13.8">
      <c r="R10559" s="10">
        <v>10531</v>
      </c>
    </row>
    <row r="10560" spans="18:18" ht="13.8">
      <c r="R10560" s="10">
        <v>10532</v>
      </c>
    </row>
    <row r="10561" spans="18:18" ht="13.8">
      <c r="R10561" s="10">
        <v>10533</v>
      </c>
    </row>
    <row r="10562" spans="18:18" ht="13.8">
      <c r="R10562" s="10">
        <v>10534</v>
      </c>
    </row>
    <row r="10563" spans="18:18" ht="13.8">
      <c r="R10563" s="10">
        <v>10535</v>
      </c>
    </row>
    <row r="10564" spans="18:18" ht="13.8">
      <c r="R10564" s="10">
        <v>10536</v>
      </c>
    </row>
    <row r="10565" spans="18:18" ht="13.8">
      <c r="R10565" s="10">
        <v>10537</v>
      </c>
    </row>
    <row r="10566" spans="18:18" ht="13.8">
      <c r="R10566" s="10">
        <v>10538</v>
      </c>
    </row>
    <row r="10567" spans="18:18" ht="13.8">
      <c r="R10567" s="10">
        <v>10539</v>
      </c>
    </row>
    <row r="10568" spans="18:18" ht="13.8">
      <c r="R10568" s="10">
        <v>10540</v>
      </c>
    </row>
    <row r="10569" spans="18:18" ht="13.8">
      <c r="R10569" s="10">
        <v>10541</v>
      </c>
    </row>
    <row r="10570" spans="18:18" ht="13.8">
      <c r="R10570" s="10">
        <v>10542</v>
      </c>
    </row>
    <row r="10571" spans="18:18" ht="13.8">
      <c r="R10571" s="10">
        <v>10543</v>
      </c>
    </row>
    <row r="10572" spans="18:18" ht="13.8">
      <c r="R10572" s="10">
        <v>10544</v>
      </c>
    </row>
    <row r="10573" spans="18:18" ht="13.8">
      <c r="R10573" s="10">
        <v>10545</v>
      </c>
    </row>
    <row r="10574" spans="18:18" ht="13.8">
      <c r="R10574" s="10">
        <v>10546</v>
      </c>
    </row>
    <row r="10575" spans="18:18" ht="13.8">
      <c r="R10575" s="10">
        <v>10547</v>
      </c>
    </row>
    <row r="10576" spans="18:18" ht="13.8">
      <c r="R10576" s="10">
        <v>10548</v>
      </c>
    </row>
    <row r="10577" spans="18:18" ht="13.8">
      <c r="R10577" s="10">
        <v>10549</v>
      </c>
    </row>
    <row r="10578" spans="18:18" ht="13.8">
      <c r="R10578" s="10">
        <v>10550</v>
      </c>
    </row>
    <row r="10579" spans="18:18" ht="13.8">
      <c r="R10579" s="10">
        <v>10551</v>
      </c>
    </row>
    <row r="10580" spans="18:18" ht="13.8">
      <c r="R10580" s="10">
        <v>10552</v>
      </c>
    </row>
    <row r="10581" spans="18:18" ht="13.8">
      <c r="R10581" s="10">
        <v>10553</v>
      </c>
    </row>
    <row r="10582" spans="18:18" ht="13.8">
      <c r="R10582" s="10">
        <v>10554</v>
      </c>
    </row>
    <row r="10583" spans="18:18" ht="13.8">
      <c r="R10583" s="10">
        <v>10555</v>
      </c>
    </row>
    <row r="10584" spans="18:18" ht="13.8">
      <c r="R10584" s="10">
        <v>10556</v>
      </c>
    </row>
    <row r="10585" spans="18:18" ht="13.8">
      <c r="R10585" s="10">
        <v>10557</v>
      </c>
    </row>
    <row r="10586" spans="18:18" ht="13.8">
      <c r="R10586" s="10">
        <v>10558</v>
      </c>
    </row>
    <row r="10587" spans="18:18" ht="13.8">
      <c r="R10587" s="10">
        <v>10559</v>
      </c>
    </row>
    <row r="10588" spans="18:18" ht="13.8">
      <c r="R10588" s="10">
        <v>10560</v>
      </c>
    </row>
    <row r="10589" spans="18:18" ht="13.8">
      <c r="R10589" s="10">
        <v>10561</v>
      </c>
    </row>
    <row r="10590" spans="18:18" ht="13.8">
      <c r="R10590" s="10">
        <v>10562</v>
      </c>
    </row>
    <row r="10591" spans="18:18" ht="13.8">
      <c r="R10591" s="10">
        <v>10563</v>
      </c>
    </row>
    <row r="10592" spans="18:18" ht="13.8">
      <c r="R10592" s="10">
        <v>10564</v>
      </c>
    </row>
    <row r="10593" spans="18:18" ht="13.8">
      <c r="R10593" s="10">
        <v>10565</v>
      </c>
    </row>
    <row r="10594" spans="18:18" ht="13.8">
      <c r="R10594" s="10">
        <v>10566</v>
      </c>
    </row>
    <row r="10595" spans="18:18" ht="13.8">
      <c r="R10595" s="10">
        <v>10567</v>
      </c>
    </row>
    <row r="10596" spans="18:18" ht="13.8">
      <c r="R10596" s="10">
        <v>10568</v>
      </c>
    </row>
    <row r="10597" spans="18:18" ht="13.8">
      <c r="R10597" s="10">
        <v>10569</v>
      </c>
    </row>
    <row r="10598" spans="18:18" ht="13.8">
      <c r="R10598" s="10">
        <v>10570</v>
      </c>
    </row>
    <row r="10599" spans="18:18" ht="13.8">
      <c r="R10599" s="10">
        <v>10571</v>
      </c>
    </row>
    <row r="10600" spans="18:18" ht="13.8">
      <c r="R10600" s="10">
        <v>10572</v>
      </c>
    </row>
    <row r="10601" spans="18:18" ht="13.8">
      <c r="R10601" s="10">
        <v>10573</v>
      </c>
    </row>
    <row r="10602" spans="18:18" ht="13.8">
      <c r="R10602" s="10">
        <v>10574</v>
      </c>
    </row>
    <row r="10603" spans="18:18" ht="13.8">
      <c r="R10603" s="10">
        <v>10575</v>
      </c>
    </row>
    <row r="10604" spans="18:18" ht="13.8">
      <c r="R10604" s="10">
        <v>10576</v>
      </c>
    </row>
    <row r="10605" spans="18:18" ht="13.8">
      <c r="R10605" s="10">
        <v>10577</v>
      </c>
    </row>
    <row r="10606" spans="18:18" ht="13.8">
      <c r="R10606" s="10">
        <v>10578</v>
      </c>
    </row>
    <row r="10607" spans="18:18" ht="13.8">
      <c r="R10607" s="10">
        <v>10579</v>
      </c>
    </row>
    <row r="10608" spans="18:18" ht="13.8">
      <c r="R10608" s="10">
        <v>10580</v>
      </c>
    </row>
    <row r="10609" spans="18:18" ht="13.8">
      <c r="R10609" s="10">
        <v>10581</v>
      </c>
    </row>
    <row r="10610" spans="18:18" ht="13.8">
      <c r="R10610" s="10">
        <v>10582</v>
      </c>
    </row>
    <row r="10611" spans="18:18" ht="13.8">
      <c r="R10611" s="10">
        <v>10583</v>
      </c>
    </row>
    <row r="10612" spans="18:18" ht="13.8">
      <c r="R10612" s="10">
        <v>10584</v>
      </c>
    </row>
    <row r="10613" spans="18:18" ht="13.8">
      <c r="R10613" s="10">
        <v>10585</v>
      </c>
    </row>
    <row r="10614" spans="18:18" ht="13.8">
      <c r="R10614" s="10">
        <v>10586</v>
      </c>
    </row>
    <row r="10615" spans="18:18" ht="13.8">
      <c r="R10615" s="10">
        <v>10587</v>
      </c>
    </row>
    <row r="10616" spans="18:18" ht="13.8">
      <c r="R10616" s="10">
        <v>10588</v>
      </c>
    </row>
    <row r="10617" spans="18:18" ht="13.8">
      <c r="R10617" s="10">
        <v>10589</v>
      </c>
    </row>
    <row r="10618" spans="18:18" ht="13.8">
      <c r="R10618" s="10">
        <v>10590</v>
      </c>
    </row>
    <row r="10619" spans="18:18" ht="13.8">
      <c r="R10619" s="10">
        <v>10591</v>
      </c>
    </row>
    <row r="10620" spans="18:18" ht="13.8">
      <c r="R10620" s="10">
        <v>10592</v>
      </c>
    </row>
    <row r="10621" spans="18:18" ht="13.8">
      <c r="R10621" s="10">
        <v>10593</v>
      </c>
    </row>
    <row r="10622" spans="18:18" ht="13.8">
      <c r="R10622" s="10">
        <v>10594</v>
      </c>
    </row>
    <row r="10623" spans="18:18" ht="13.8">
      <c r="R10623" s="10">
        <v>10595</v>
      </c>
    </row>
    <row r="10624" spans="18:18" ht="13.8">
      <c r="R10624" s="10">
        <v>10596</v>
      </c>
    </row>
    <row r="10625" spans="18:18" ht="13.8">
      <c r="R10625" s="10">
        <v>10597</v>
      </c>
    </row>
    <row r="10626" spans="18:18" ht="13.8">
      <c r="R10626" s="10">
        <v>10598</v>
      </c>
    </row>
    <row r="10627" spans="18:18" ht="13.8">
      <c r="R10627" s="10">
        <v>10599</v>
      </c>
    </row>
    <row r="10628" spans="18:18" ht="13.8">
      <c r="R10628" s="10">
        <v>10600</v>
      </c>
    </row>
    <row r="10629" spans="18:18" ht="13.8">
      <c r="R10629" s="10">
        <v>10601</v>
      </c>
    </row>
    <row r="10630" spans="18:18" ht="13.8">
      <c r="R10630" s="10">
        <v>10602</v>
      </c>
    </row>
    <row r="10631" spans="18:18" ht="13.8">
      <c r="R10631" s="10">
        <v>10603</v>
      </c>
    </row>
    <row r="10632" spans="18:18" ht="13.8">
      <c r="R10632" s="10">
        <v>10604</v>
      </c>
    </row>
    <row r="10633" spans="18:18" ht="13.8">
      <c r="R10633" s="10">
        <v>10605</v>
      </c>
    </row>
    <row r="10634" spans="18:18" ht="13.8">
      <c r="R10634" s="10">
        <v>10606</v>
      </c>
    </row>
    <row r="10635" spans="18:18" ht="13.8">
      <c r="R10635" s="10">
        <v>10607</v>
      </c>
    </row>
    <row r="10636" spans="18:18" ht="13.8">
      <c r="R10636" s="10">
        <v>10608</v>
      </c>
    </row>
    <row r="10637" spans="18:18" ht="13.8">
      <c r="R10637" s="10">
        <v>10609</v>
      </c>
    </row>
    <row r="10638" spans="18:18" ht="13.8">
      <c r="R10638" s="10">
        <v>10610</v>
      </c>
    </row>
    <row r="10639" spans="18:18" ht="13.8">
      <c r="R10639" s="10">
        <v>10611</v>
      </c>
    </row>
    <row r="10640" spans="18:18" ht="13.8">
      <c r="R10640" s="10">
        <v>10612</v>
      </c>
    </row>
    <row r="10641" spans="18:18" ht="13.8">
      <c r="R10641" s="10">
        <v>10613</v>
      </c>
    </row>
    <row r="10642" spans="18:18" ht="13.8">
      <c r="R10642" s="10">
        <v>10614</v>
      </c>
    </row>
    <row r="10643" spans="18:18" ht="13.8">
      <c r="R10643" s="10">
        <v>10615</v>
      </c>
    </row>
    <row r="10644" spans="18:18" ht="13.8">
      <c r="R10644" s="10">
        <v>10616</v>
      </c>
    </row>
    <row r="10645" spans="18:18" ht="13.8">
      <c r="R10645" s="10">
        <v>10617</v>
      </c>
    </row>
    <row r="10646" spans="18:18" ht="13.8">
      <c r="R10646" s="10">
        <v>10618</v>
      </c>
    </row>
    <row r="10647" spans="18:18" ht="13.8">
      <c r="R10647" s="10">
        <v>10619</v>
      </c>
    </row>
    <row r="10648" spans="18:18" ht="13.8">
      <c r="R10648" s="10">
        <v>10620</v>
      </c>
    </row>
    <row r="10649" spans="18:18" ht="13.8">
      <c r="R10649" s="10">
        <v>10621</v>
      </c>
    </row>
    <row r="10650" spans="18:18" ht="13.8">
      <c r="R10650" s="10">
        <v>10622</v>
      </c>
    </row>
    <row r="10651" spans="18:18" ht="13.8">
      <c r="R10651" s="10">
        <v>10623</v>
      </c>
    </row>
    <row r="10652" spans="18:18" ht="13.8">
      <c r="R10652" s="10">
        <v>10624</v>
      </c>
    </row>
    <row r="10653" spans="18:18" ht="13.8">
      <c r="R10653" s="10">
        <v>10625</v>
      </c>
    </row>
    <row r="10654" spans="18:18" ht="13.8">
      <c r="R10654" s="10">
        <v>10626</v>
      </c>
    </row>
    <row r="10655" spans="18:18" ht="13.8">
      <c r="R10655" s="10">
        <v>10627</v>
      </c>
    </row>
    <row r="10656" spans="18:18" ht="13.8">
      <c r="R10656" s="10">
        <v>10628</v>
      </c>
    </row>
    <row r="10657" spans="18:18" ht="13.8">
      <c r="R10657" s="10">
        <v>10629</v>
      </c>
    </row>
    <row r="10658" spans="18:18" ht="13.8">
      <c r="R10658" s="10">
        <v>10630</v>
      </c>
    </row>
    <row r="10659" spans="18:18" ht="13.8">
      <c r="R10659" s="10">
        <v>10631</v>
      </c>
    </row>
    <row r="10660" spans="18:18" ht="13.8">
      <c r="R10660" s="10">
        <v>10632</v>
      </c>
    </row>
    <row r="10661" spans="18:18" ht="13.8">
      <c r="R10661" s="10">
        <v>10633</v>
      </c>
    </row>
    <row r="10662" spans="18:18" ht="13.8">
      <c r="R10662" s="10">
        <v>10634</v>
      </c>
    </row>
    <row r="10663" spans="18:18" ht="13.8">
      <c r="R10663" s="10">
        <v>10635</v>
      </c>
    </row>
    <row r="10664" spans="18:18" ht="13.8">
      <c r="R10664" s="10">
        <v>10636</v>
      </c>
    </row>
    <row r="10665" spans="18:18" ht="13.8">
      <c r="R10665" s="10">
        <v>10637</v>
      </c>
    </row>
    <row r="10666" spans="18:18" ht="13.8">
      <c r="R10666" s="10">
        <v>10638</v>
      </c>
    </row>
    <row r="10667" spans="18:18" ht="13.8">
      <c r="R10667" s="10">
        <v>10639</v>
      </c>
    </row>
    <row r="10668" spans="18:18" ht="13.8">
      <c r="R10668" s="10">
        <v>10640</v>
      </c>
    </row>
    <row r="10669" spans="18:18" ht="13.8">
      <c r="R10669" s="10">
        <v>10641</v>
      </c>
    </row>
    <row r="10670" spans="18:18" ht="13.8">
      <c r="R10670" s="10">
        <v>10642</v>
      </c>
    </row>
    <row r="10671" spans="18:18" ht="13.8">
      <c r="R10671" s="10">
        <v>10643</v>
      </c>
    </row>
    <row r="10672" spans="18:18" ht="13.8">
      <c r="R10672" s="10">
        <v>10644</v>
      </c>
    </row>
    <row r="10673" spans="18:18" ht="13.8">
      <c r="R10673" s="10">
        <v>10645</v>
      </c>
    </row>
    <row r="10674" spans="18:18" ht="13.8">
      <c r="R10674" s="10">
        <v>10646</v>
      </c>
    </row>
    <row r="10675" spans="18:18" ht="13.8">
      <c r="R10675" s="10">
        <v>10647</v>
      </c>
    </row>
    <row r="10676" spans="18:18" ht="13.8">
      <c r="R10676" s="10">
        <v>10648</v>
      </c>
    </row>
    <row r="10677" spans="18:18" ht="13.8">
      <c r="R10677" s="10">
        <v>10649</v>
      </c>
    </row>
    <row r="10678" spans="18:18" ht="13.8">
      <c r="R10678" s="10">
        <v>10650</v>
      </c>
    </row>
    <row r="10679" spans="18:18" ht="13.8">
      <c r="R10679" s="10">
        <v>10651</v>
      </c>
    </row>
    <row r="10680" spans="18:18" ht="13.8">
      <c r="R10680" s="10">
        <v>10652</v>
      </c>
    </row>
    <row r="10681" spans="18:18" ht="13.8">
      <c r="R10681" s="10">
        <v>10653</v>
      </c>
    </row>
    <row r="10682" spans="18:18" ht="13.8">
      <c r="R10682" s="10">
        <v>10654</v>
      </c>
    </row>
    <row r="10683" spans="18:18" ht="13.8">
      <c r="R10683" s="10">
        <v>10655</v>
      </c>
    </row>
    <row r="10684" spans="18:18" ht="13.8">
      <c r="R10684" s="10">
        <v>10656</v>
      </c>
    </row>
    <row r="10685" spans="18:18" ht="13.8">
      <c r="R10685" s="10">
        <v>10657</v>
      </c>
    </row>
    <row r="10686" spans="18:18" ht="13.8">
      <c r="R10686" s="10">
        <v>10658</v>
      </c>
    </row>
    <row r="10687" spans="18:18" ht="13.8">
      <c r="R10687" s="10">
        <v>10659</v>
      </c>
    </row>
    <row r="10688" spans="18:18" ht="13.8">
      <c r="R10688" s="10">
        <v>10660</v>
      </c>
    </row>
    <row r="10689" spans="18:18" ht="13.8">
      <c r="R10689" s="10">
        <v>10661</v>
      </c>
    </row>
    <row r="10690" spans="18:18" ht="13.8">
      <c r="R10690" s="10">
        <v>10662</v>
      </c>
    </row>
    <row r="10691" spans="18:18" ht="13.8">
      <c r="R10691" s="10">
        <v>10663</v>
      </c>
    </row>
    <row r="10692" spans="18:18" ht="13.8">
      <c r="R10692" s="10">
        <v>10664</v>
      </c>
    </row>
    <row r="10693" spans="18:18" ht="13.8">
      <c r="R10693" s="10">
        <v>10665</v>
      </c>
    </row>
    <row r="10694" spans="18:18" ht="13.8">
      <c r="R10694" s="10">
        <v>10666</v>
      </c>
    </row>
    <row r="10695" spans="18:18" ht="13.8">
      <c r="R10695" s="10">
        <v>10667</v>
      </c>
    </row>
    <row r="10696" spans="18:18" ht="13.8">
      <c r="R10696" s="10">
        <v>10668</v>
      </c>
    </row>
    <row r="10697" spans="18:18" ht="13.8">
      <c r="R10697" s="10">
        <v>10669</v>
      </c>
    </row>
    <row r="10698" spans="18:18" ht="13.8">
      <c r="R10698" s="10">
        <v>10670</v>
      </c>
    </row>
    <row r="10699" spans="18:18" ht="13.8">
      <c r="R10699" s="10">
        <v>10671</v>
      </c>
    </row>
    <row r="10700" spans="18:18" ht="13.8">
      <c r="R10700" s="10">
        <v>10672</v>
      </c>
    </row>
    <row r="10701" spans="18:18" ht="13.8">
      <c r="R10701" s="10">
        <v>10673</v>
      </c>
    </row>
    <row r="10702" spans="18:18" ht="13.8">
      <c r="R10702" s="10">
        <v>10674</v>
      </c>
    </row>
    <row r="10703" spans="18:18" ht="13.8">
      <c r="R10703" s="10">
        <v>10675</v>
      </c>
    </row>
    <row r="10704" spans="18:18" ht="13.8">
      <c r="R10704" s="10">
        <v>10676</v>
      </c>
    </row>
    <row r="10705" spans="18:18" ht="13.8">
      <c r="R10705" s="10">
        <v>10677</v>
      </c>
    </row>
    <row r="10706" spans="18:18" ht="13.8">
      <c r="R10706" s="10">
        <v>10678</v>
      </c>
    </row>
    <row r="10707" spans="18:18" ht="13.8">
      <c r="R10707" s="10">
        <v>10679</v>
      </c>
    </row>
    <row r="10708" spans="18:18" ht="13.8">
      <c r="R10708" s="10">
        <v>10680</v>
      </c>
    </row>
    <row r="10709" spans="18:18" ht="13.8">
      <c r="R10709" s="10">
        <v>10681</v>
      </c>
    </row>
    <row r="10710" spans="18:18" ht="13.8">
      <c r="R10710" s="10">
        <v>10682</v>
      </c>
    </row>
    <row r="10711" spans="18:18" ht="13.8">
      <c r="R10711" s="10">
        <v>10683</v>
      </c>
    </row>
    <row r="10712" spans="18:18" ht="13.8">
      <c r="R10712" s="10">
        <v>10684</v>
      </c>
    </row>
    <row r="10713" spans="18:18" ht="13.8">
      <c r="R10713" s="10">
        <v>10685</v>
      </c>
    </row>
    <row r="10714" spans="18:18" ht="13.8">
      <c r="R10714" s="10">
        <v>10686</v>
      </c>
    </row>
    <row r="10715" spans="18:18" ht="13.8">
      <c r="R10715" s="10">
        <v>10687</v>
      </c>
    </row>
    <row r="10716" spans="18:18" ht="13.8">
      <c r="R10716" s="10">
        <v>10688</v>
      </c>
    </row>
    <row r="10717" spans="18:18" ht="13.8">
      <c r="R10717" s="10">
        <v>10689</v>
      </c>
    </row>
    <row r="10718" spans="18:18" ht="13.8">
      <c r="R10718" s="10">
        <v>10690</v>
      </c>
    </row>
    <row r="10719" spans="18:18" ht="13.8">
      <c r="R10719" s="10">
        <v>10691</v>
      </c>
    </row>
    <row r="10720" spans="18:18" ht="13.8">
      <c r="R10720" s="10">
        <v>10692</v>
      </c>
    </row>
    <row r="10721" spans="18:18" ht="13.8">
      <c r="R10721" s="10">
        <v>10693</v>
      </c>
    </row>
    <row r="10722" spans="18:18" ht="13.8">
      <c r="R10722" s="10">
        <v>10694</v>
      </c>
    </row>
    <row r="10723" spans="18:18" ht="13.8">
      <c r="R10723" s="10">
        <v>10695</v>
      </c>
    </row>
    <row r="10724" spans="18:18" ht="13.8">
      <c r="R10724" s="10">
        <v>10696</v>
      </c>
    </row>
    <row r="10725" spans="18:18" ht="13.8">
      <c r="R10725" s="10">
        <v>10697</v>
      </c>
    </row>
    <row r="10726" spans="18:18" ht="13.8">
      <c r="R10726" s="10">
        <v>10698</v>
      </c>
    </row>
    <row r="10727" spans="18:18" ht="13.8">
      <c r="R10727" s="10">
        <v>10699</v>
      </c>
    </row>
    <row r="10728" spans="18:18" ht="13.8">
      <c r="R10728" s="10">
        <v>10700</v>
      </c>
    </row>
    <row r="10729" spans="18:18" ht="13.8">
      <c r="R10729" s="10">
        <v>10701</v>
      </c>
    </row>
    <row r="10730" spans="18:18" ht="13.8">
      <c r="R10730" s="10">
        <v>10702</v>
      </c>
    </row>
    <row r="10731" spans="18:18" ht="13.8">
      <c r="R10731" s="10">
        <v>10703</v>
      </c>
    </row>
    <row r="10732" spans="18:18" ht="13.8">
      <c r="R10732" s="10">
        <v>10704</v>
      </c>
    </row>
    <row r="10733" spans="18:18" ht="13.8">
      <c r="R10733" s="10">
        <v>10705</v>
      </c>
    </row>
    <row r="10734" spans="18:18" ht="13.8">
      <c r="R10734" s="10">
        <v>10706</v>
      </c>
    </row>
    <row r="10735" spans="18:18" ht="13.8">
      <c r="R10735" s="10">
        <v>10707</v>
      </c>
    </row>
    <row r="10736" spans="18:18" ht="13.8">
      <c r="R10736" s="10">
        <v>10708</v>
      </c>
    </row>
    <row r="10737" spans="18:18" ht="13.8">
      <c r="R10737" s="10">
        <v>10709</v>
      </c>
    </row>
    <row r="10738" spans="18:18" ht="13.8">
      <c r="R10738" s="10">
        <v>10710</v>
      </c>
    </row>
    <row r="10739" spans="18:18" ht="13.8">
      <c r="R10739" s="10">
        <v>10711</v>
      </c>
    </row>
    <row r="10740" spans="18:18" ht="13.8">
      <c r="R10740" s="10">
        <v>10712</v>
      </c>
    </row>
    <row r="10741" spans="18:18" ht="13.8">
      <c r="R10741" s="10">
        <v>10713</v>
      </c>
    </row>
    <row r="10742" spans="18:18" ht="13.8">
      <c r="R10742" s="10">
        <v>10714</v>
      </c>
    </row>
    <row r="10743" spans="18:18" ht="13.8">
      <c r="R10743" s="10">
        <v>10715</v>
      </c>
    </row>
    <row r="10744" spans="18:18" ht="13.8">
      <c r="R10744" s="10">
        <v>10716</v>
      </c>
    </row>
    <row r="10745" spans="18:18" ht="13.8">
      <c r="R10745" s="10">
        <v>10717</v>
      </c>
    </row>
    <row r="10746" spans="18:18" ht="13.8">
      <c r="R10746" s="10">
        <v>10718</v>
      </c>
    </row>
    <row r="10747" spans="18:18" ht="13.8">
      <c r="R10747" s="10">
        <v>10719</v>
      </c>
    </row>
    <row r="10748" spans="18:18" ht="13.8">
      <c r="R10748" s="10">
        <v>10720</v>
      </c>
    </row>
    <row r="10749" spans="18:18" ht="13.8">
      <c r="R10749" s="10">
        <v>10721</v>
      </c>
    </row>
    <row r="10750" spans="18:18" ht="13.8">
      <c r="R10750" s="10">
        <v>10722</v>
      </c>
    </row>
    <row r="10751" spans="18:18" ht="13.8">
      <c r="R10751" s="10">
        <v>10723</v>
      </c>
    </row>
    <row r="10752" spans="18:18" ht="13.8">
      <c r="R10752" s="10">
        <v>10724</v>
      </c>
    </row>
    <row r="10753" spans="18:18" ht="13.8">
      <c r="R10753" s="10">
        <v>10725</v>
      </c>
    </row>
    <row r="10754" spans="18:18" ht="13.8">
      <c r="R10754" s="10">
        <v>10726</v>
      </c>
    </row>
    <row r="10755" spans="18:18" ht="13.8">
      <c r="R10755" s="10">
        <v>10727</v>
      </c>
    </row>
    <row r="10756" spans="18:18" ht="13.8">
      <c r="R10756" s="10">
        <v>10728</v>
      </c>
    </row>
    <row r="10757" spans="18:18" ht="13.8">
      <c r="R10757" s="10">
        <v>10729</v>
      </c>
    </row>
    <row r="10758" spans="18:18" ht="13.8">
      <c r="R10758" s="10">
        <v>10730</v>
      </c>
    </row>
    <row r="10759" spans="18:18" ht="13.8">
      <c r="R10759" s="10">
        <v>10731</v>
      </c>
    </row>
    <row r="10760" spans="18:18" ht="13.8">
      <c r="R10760" s="10">
        <v>10732</v>
      </c>
    </row>
    <row r="10761" spans="18:18" ht="13.8">
      <c r="R10761" s="10">
        <v>10733</v>
      </c>
    </row>
    <row r="10762" spans="18:18" ht="13.8">
      <c r="R10762" s="10">
        <v>10734</v>
      </c>
    </row>
    <row r="10763" spans="18:18" ht="13.8">
      <c r="R10763" s="10">
        <v>10735</v>
      </c>
    </row>
    <row r="10764" spans="18:18" ht="13.8">
      <c r="R10764" s="10">
        <v>10736</v>
      </c>
    </row>
    <row r="10765" spans="18:18" ht="13.8">
      <c r="R10765" s="10">
        <v>10737</v>
      </c>
    </row>
    <row r="10766" spans="18:18" ht="13.8">
      <c r="R10766" s="10">
        <v>10738</v>
      </c>
    </row>
    <row r="10767" spans="18:18" ht="13.8">
      <c r="R10767" s="10">
        <v>10739</v>
      </c>
    </row>
    <row r="10768" spans="18:18" ht="13.8">
      <c r="R10768" s="10">
        <v>10740</v>
      </c>
    </row>
    <row r="10769" spans="18:18" ht="13.8">
      <c r="R10769" s="10">
        <v>10741</v>
      </c>
    </row>
    <row r="10770" spans="18:18" ht="13.8">
      <c r="R10770" s="10">
        <v>10742</v>
      </c>
    </row>
    <row r="10771" spans="18:18" ht="13.8">
      <c r="R10771" s="10">
        <v>10743</v>
      </c>
    </row>
    <row r="10772" spans="18:18" ht="13.8">
      <c r="R10772" s="10">
        <v>10744</v>
      </c>
    </row>
    <row r="10773" spans="18:18" ht="13.8">
      <c r="R10773" s="10">
        <v>10745</v>
      </c>
    </row>
    <row r="10774" spans="18:18" ht="13.8">
      <c r="R10774" s="10">
        <v>10746</v>
      </c>
    </row>
    <row r="10775" spans="18:18" ht="13.8">
      <c r="R10775" s="10">
        <v>10747</v>
      </c>
    </row>
    <row r="10776" spans="18:18" ht="13.8">
      <c r="R10776" s="10">
        <v>10748</v>
      </c>
    </row>
    <row r="10777" spans="18:18" ht="13.8">
      <c r="R10777" s="10">
        <v>10749</v>
      </c>
    </row>
    <row r="10778" spans="18:18" ht="13.8">
      <c r="R10778" s="10">
        <v>10750</v>
      </c>
    </row>
    <row r="10779" spans="18:18" ht="13.8">
      <c r="R10779" s="10">
        <v>10751</v>
      </c>
    </row>
    <row r="10780" spans="18:18" ht="13.8">
      <c r="R10780" s="10">
        <v>10752</v>
      </c>
    </row>
    <row r="10781" spans="18:18" ht="13.8">
      <c r="R10781" s="10">
        <v>10753</v>
      </c>
    </row>
    <row r="10782" spans="18:18" ht="13.8">
      <c r="R10782" s="10">
        <v>10754</v>
      </c>
    </row>
    <row r="10783" spans="18:18" ht="13.8">
      <c r="R10783" s="10">
        <v>10755</v>
      </c>
    </row>
    <row r="10784" spans="18:18" ht="13.8">
      <c r="R10784" s="10">
        <v>10756</v>
      </c>
    </row>
    <row r="10785" spans="18:18" ht="13.8">
      <c r="R10785" s="10">
        <v>10757</v>
      </c>
    </row>
    <row r="10786" spans="18:18" ht="13.8">
      <c r="R10786" s="10">
        <v>10758</v>
      </c>
    </row>
    <row r="10787" spans="18:18" ht="13.8">
      <c r="R10787" s="10">
        <v>10759</v>
      </c>
    </row>
    <row r="10788" spans="18:18" ht="13.8">
      <c r="R10788" s="10">
        <v>10760</v>
      </c>
    </row>
    <row r="10789" spans="18:18" ht="13.8">
      <c r="R10789" s="10">
        <v>10761</v>
      </c>
    </row>
    <row r="10790" spans="18:18" ht="13.8">
      <c r="R10790" s="10">
        <v>10762</v>
      </c>
    </row>
    <row r="10791" spans="18:18" ht="13.8">
      <c r="R10791" s="10">
        <v>10763</v>
      </c>
    </row>
    <row r="10792" spans="18:18" ht="13.8">
      <c r="R10792" s="10">
        <v>10764</v>
      </c>
    </row>
    <row r="10793" spans="18:18" ht="13.8">
      <c r="R10793" s="10">
        <v>10765</v>
      </c>
    </row>
    <row r="10794" spans="18:18" ht="13.8">
      <c r="R10794" s="10">
        <v>10766</v>
      </c>
    </row>
    <row r="10795" spans="18:18" ht="13.8">
      <c r="R10795" s="10">
        <v>10767</v>
      </c>
    </row>
    <row r="10796" spans="18:18" ht="13.8">
      <c r="R10796" s="10">
        <v>10768</v>
      </c>
    </row>
    <row r="10797" spans="18:18" ht="13.8">
      <c r="R10797" s="10">
        <v>10769</v>
      </c>
    </row>
    <row r="10798" spans="18:18" ht="13.8">
      <c r="R10798" s="10">
        <v>10770</v>
      </c>
    </row>
    <row r="10799" spans="18:18" ht="13.8">
      <c r="R10799" s="10">
        <v>10771</v>
      </c>
    </row>
    <row r="10800" spans="18:18" ht="13.8">
      <c r="R10800" s="10">
        <v>10772</v>
      </c>
    </row>
    <row r="10801" spans="18:18" ht="13.8">
      <c r="R10801" s="10">
        <v>10773</v>
      </c>
    </row>
    <row r="10802" spans="18:18" ht="13.8">
      <c r="R10802" s="10">
        <v>10774</v>
      </c>
    </row>
    <row r="10803" spans="18:18" ht="13.8">
      <c r="R10803" s="10">
        <v>10775</v>
      </c>
    </row>
    <row r="10804" spans="18:18" ht="13.8">
      <c r="R10804" s="10">
        <v>10776</v>
      </c>
    </row>
    <row r="10805" spans="18:18" ht="13.8">
      <c r="R10805" s="10">
        <v>10777</v>
      </c>
    </row>
    <row r="10806" spans="18:18" ht="13.8">
      <c r="R10806" s="10">
        <v>10778</v>
      </c>
    </row>
    <row r="10807" spans="18:18" ht="13.8">
      <c r="R10807" s="10">
        <v>10779</v>
      </c>
    </row>
    <row r="10808" spans="18:18" ht="13.8">
      <c r="R10808" s="10">
        <v>10780</v>
      </c>
    </row>
    <row r="10809" spans="18:18" ht="13.8">
      <c r="R10809" s="10">
        <v>10781</v>
      </c>
    </row>
    <row r="10810" spans="18:18" ht="13.8">
      <c r="R10810" s="10">
        <v>10782</v>
      </c>
    </row>
    <row r="10811" spans="18:18" ht="13.8">
      <c r="R10811" s="10">
        <v>10783</v>
      </c>
    </row>
    <row r="10812" spans="18:18" ht="13.8">
      <c r="R10812" s="10">
        <v>10784</v>
      </c>
    </row>
    <row r="10813" spans="18:18" ht="13.8">
      <c r="R10813" s="10">
        <v>10785</v>
      </c>
    </row>
    <row r="10814" spans="18:18" ht="13.8">
      <c r="R10814" s="10">
        <v>10786</v>
      </c>
    </row>
    <row r="10815" spans="18:18" ht="13.8">
      <c r="R10815" s="10">
        <v>10787</v>
      </c>
    </row>
    <row r="10816" spans="18:18" ht="13.8">
      <c r="R10816" s="10">
        <v>10788</v>
      </c>
    </row>
    <row r="10817" spans="18:18" ht="13.8">
      <c r="R10817" s="10">
        <v>10789</v>
      </c>
    </row>
    <row r="10818" spans="18:18" ht="13.8">
      <c r="R10818" s="10">
        <v>10790</v>
      </c>
    </row>
    <row r="10819" spans="18:18" ht="13.8">
      <c r="R10819" s="10">
        <v>10791</v>
      </c>
    </row>
    <row r="10820" spans="18:18" ht="13.8">
      <c r="R10820" s="10">
        <v>10792</v>
      </c>
    </row>
    <row r="10821" spans="18:18" ht="13.8">
      <c r="R10821" s="10">
        <v>10793</v>
      </c>
    </row>
    <row r="10822" spans="18:18" ht="13.8">
      <c r="R10822" s="10">
        <v>10794</v>
      </c>
    </row>
    <row r="10823" spans="18:18" ht="13.8">
      <c r="R10823" s="10">
        <v>10795</v>
      </c>
    </row>
    <row r="10824" spans="18:18" ht="13.8">
      <c r="R10824" s="10">
        <v>10796</v>
      </c>
    </row>
    <row r="10825" spans="18:18" ht="13.8">
      <c r="R10825" s="10">
        <v>10797</v>
      </c>
    </row>
    <row r="10826" spans="18:18" ht="13.8">
      <c r="R10826" s="10">
        <v>10798</v>
      </c>
    </row>
    <row r="10827" spans="18:18" ht="13.8">
      <c r="R10827" s="10">
        <v>10799</v>
      </c>
    </row>
    <row r="10828" spans="18:18" ht="13.8">
      <c r="R10828" s="10">
        <v>10800</v>
      </c>
    </row>
    <row r="10829" spans="18:18" ht="13.8">
      <c r="R10829" s="10">
        <v>10801</v>
      </c>
    </row>
    <row r="10830" spans="18:18" ht="13.8">
      <c r="R10830" s="10">
        <v>10802</v>
      </c>
    </row>
    <row r="10831" spans="18:18" ht="13.8">
      <c r="R10831" s="10">
        <v>10803</v>
      </c>
    </row>
    <row r="10832" spans="18:18" ht="13.8">
      <c r="R10832" s="10">
        <v>10804</v>
      </c>
    </row>
    <row r="10833" spans="18:18" ht="13.8">
      <c r="R10833" s="10">
        <v>10805</v>
      </c>
    </row>
    <row r="10834" spans="18:18" ht="13.8">
      <c r="R10834" s="10">
        <v>10806</v>
      </c>
    </row>
    <row r="10835" spans="18:18" ht="13.8">
      <c r="R10835" s="10">
        <v>10807</v>
      </c>
    </row>
    <row r="10836" spans="18:18" ht="13.8">
      <c r="R10836" s="10">
        <v>10808</v>
      </c>
    </row>
    <row r="10837" spans="18:18" ht="13.8">
      <c r="R10837" s="10">
        <v>10809</v>
      </c>
    </row>
    <row r="10838" spans="18:18" ht="13.8">
      <c r="R10838" s="10">
        <v>10810</v>
      </c>
    </row>
    <row r="10839" spans="18:18" ht="13.8">
      <c r="R10839" s="10">
        <v>10811</v>
      </c>
    </row>
    <row r="10840" spans="18:18" ht="13.8">
      <c r="R10840" s="10">
        <v>10812</v>
      </c>
    </row>
    <row r="10841" spans="18:18" ht="13.8">
      <c r="R10841" s="10">
        <v>10813</v>
      </c>
    </row>
    <row r="10842" spans="18:18" ht="13.8">
      <c r="R10842" s="10">
        <v>10814</v>
      </c>
    </row>
    <row r="10843" spans="18:18" ht="13.8">
      <c r="R10843" s="10">
        <v>10815</v>
      </c>
    </row>
    <row r="10844" spans="18:18" ht="13.8">
      <c r="R10844" s="10">
        <v>10816</v>
      </c>
    </row>
    <row r="10845" spans="18:18" ht="13.8">
      <c r="R10845" s="10">
        <v>10817</v>
      </c>
    </row>
    <row r="10846" spans="18:18" ht="13.8">
      <c r="R10846" s="10">
        <v>10818</v>
      </c>
    </row>
    <row r="10847" spans="18:18" ht="13.8">
      <c r="R10847" s="10">
        <v>10819</v>
      </c>
    </row>
    <row r="10848" spans="18:18" ht="13.8">
      <c r="R10848" s="10">
        <v>10820</v>
      </c>
    </row>
    <row r="10849" spans="18:18" ht="13.8">
      <c r="R10849" s="10">
        <v>10821</v>
      </c>
    </row>
    <row r="10850" spans="18:18" ht="13.8">
      <c r="R10850" s="10">
        <v>10822</v>
      </c>
    </row>
    <row r="10851" spans="18:18" ht="13.8">
      <c r="R10851" s="10">
        <v>10823</v>
      </c>
    </row>
    <row r="10852" spans="18:18" ht="13.8">
      <c r="R10852" s="10">
        <v>10824</v>
      </c>
    </row>
    <row r="10853" spans="18:18" ht="13.8">
      <c r="R10853" s="10">
        <v>10825</v>
      </c>
    </row>
    <row r="10854" spans="18:18" ht="13.8">
      <c r="R10854" s="10">
        <v>10826</v>
      </c>
    </row>
    <row r="10855" spans="18:18" ht="13.8">
      <c r="R10855" s="10">
        <v>10827</v>
      </c>
    </row>
    <row r="10856" spans="18:18" ht="13.8">
      <c r="R10856" s="10">
        <v>10828</v>
      </c>
    </row>
    <row r="10857" spans="18:18" ht="13.8">
      <c r="R10857" s="10">
        <v>10829</v>
      </c>
    </row>
    <row r="10858" spans="18:18" ht="13.8">
      <c r="R10858" s="10">
        <v>10830</v>
      </c>
    </row>
    <row r="10859" spans="18:18" ht="13.8">
      <c r="R10859" s="10">
        <v>10831</v>
      </c>
    </row>
    <row r="10860" spans="18:18" ht="13.8">
      <c r="R10860" s="10">
        <v>10832</v>
      </c>
    </row>
    <row r="10861" spans="18:18" ht="13.8">
      <c r="R10861" s="10">
        <v>10833</v>
      </c>
    </row>
    <row r="10862" spans="18:18" ht="13.8">
      <c r="R10862" s="10">
        <v>10834</v>
      </c>
    </row>
    <row r="10863" spans="18:18" ht="13.8">
      <c r="R10863" s="10">
        <v>10835</v>
      </c>
    </row>
    <row r="10864" spans="18:18" ht="13.8">
      <c r="R10864" s="10">
        <v>10836</v>
      </c>
    </row>
    <row r="10865" spans="18:18" ht="13.8">
      <c r="R10865" s="10">
        <v>10837</v>
      </c>
    </row>
    <row r="10866" spans="18:18" ht="13.8">
      <c r="R10866" s="10">
        <v>10838</v>
      </c>
    </row>
    <row r="10867" spans="18:18" ht="13.8">
      <c r="R10867" s="10">
        <v>10839</v>
      </c>
    </row>
    <row r="10868" spans="18:18" ht="13.8">
      <c r="R10868" s="10">
        <v>10840</v>
      </c>
    </row>
    <row r="10869" spans="18:18" ht="13.8">
      <c r="R10869" s="10">
        <v>10841</v>
      </c>
    </row>
    <row r="10870" spans="18:18" ht="13.8">
      <c r="R10870" s="10">
        <v>10842</v>
      </c>
    </row>
    <row r="10871" spans="18:18" ht="13.8">
      <c r="R10871" s="10">
        <v>10843</v>
      </c>
    </row>
    <row r="10872" spans="18:18" ht="13.8">
      <c r="R10872" s="10">
        <v>10844</v>
      </c>
    </row>
    <row r="10873" spans="18:18" ht="13.8">
      <c r="R10873" s="10">
        <v>10845</v>
      </c>
    </row>
    <row r="10874" spans="18:18" ht="13.8">
      <c r="R10874" s="10">
        <v>10846</v>
      </c>
    </row>
    <row r="10875" spans="18:18" ht="13.8">
      <c r="R10875" s="10">
        <v>10847</v>
      </c>
    </row>
    <row r="10876" spans="18:18" ht="13.8">
      <c r="R10876" s="10">
        <v>10848</v>
      </c>
    </row>
    <row r="10877" spans="18:18" ht="13.8">
      <c r="R10877" s="10">
        <v>10849</v>
      </c>
    </row>
    <row r="10878" spans="18:18" ht="13.8">
      <c r="R10878" s="10">
        <v>10850</v>
      </c>
    </row>
    <row r="10879" spans="18:18" ht="13.8">
      <c r="R10879" s="10">
        <v>10851</v>
      </c>
    </row>
    <row r="10880" spans="18:18" ht="13.8">
      <c r="R10880" s="10">
        <v>10852</v>
      </c>
    </row>
    <row r="10881" spans="18:18" ht="13.8">
      <c r="R10881" s="10">
        <v>10853</v>
      </c>
    </row>
    <row r="10882" spans="18:18" ht="13.8">
      <c r="R10882" s="10">
        <v>10854</v>
      </c>
    </row>
    <row r="10883" spans="18:18" ht="13.8">
      <c r="R10883" s="10">
        <v>10855</v>
      </c>
    </row>
    <row r="10884" spans="18:18" ht="13.8">
      <c r="R10884" s="10">
        <v>10856</v>
      </c>
    </row>
    <row r="10885" spans="18:18" ht="13.8">
      <c r="R10885" s="10">
        <v>10857</v>
      </c>
    </row>
    <row r="10886" spans="18:18" ht="13.8">
      <c r="R10886" s="10">
        <v>10858</v>
      </c>
    </row>
    <row r="10887" spans="18:18" ht="13.8">
      <c r="R10887" s="10">
        <v>10859</v>
      </c>
    </row>
    <row r="10888" spans="18:18" ht="13.8">
      <c r="R10888" s="10">
        <v>10860</v>
      </c>
    </row>
    <row r="10889" spans="18:18" ht="13.8">
      <c r="R10889" s="10">
        <v>10861</v>
      </c>
    </row>
    <row r="10890" spans="18:18" ht="13.8">
      <c r="R10890" s="10">
        <v>10862</v>
      </c>
    </row>
    <row r="10891" spans="18:18" ht="13.8">
      <c r="R10891" s="10">
        <v>10863</v>
      </c>
    </row>
    <row r="10892" spans="18:18" ht="13.8">
      <c r="R10892" s="10">
        <v>10864</v>
      </c>
    </row>
    <row r="10893" spans="18:18" ht="13.8">
      <c r="R10893" s="10">
        <v>10865</v>
      </c>
    </row>
    <row r="10894" spans="18:18" ht="13.8">
      <c r="R10894" s="10">
        <v>10866</v>
      </c>
    </row>
    <row r="10895" spans="18:18" ht="13.8">
      <c r="R10895" s="10">
        <v>10867</v>
      </c>
    </row>
    <row r="10896" spans="18:18" ht="13.8">
      <c r="R10896" s="10">
        <v>10868</v>
      </c>
    </row>
    <row r="10897" spans="18:18" ht="13.8">
      <c r="R10897" s="10">
        <v>10869</v>
      </c>
    </row>
    <row r="10898" spans="18:18" ht="13.8">
      <c r="R10898" s="10">
        <v>10870</v>
      </c>
    </row>
    <row r="10899" spans="18:18" ht="13.8">
      <c r="R10899" s="10">
        <v>10871</v>
      </c>
    </row>
    <row r="10900" spans="18:18" ht="13.8">
      <c r="R10900" s="10">
        <v>10872</v>
      </c>
    </row>
    <row r="10901" spans="18:18" ht="13.8">
      <c r="R10901" s="10">
        <v>10873</v>
      </c>
    </row>
    <row r="10902" spans="18:18" ht="13.8">
      <c r="R10902" s="10">
        <v>10874</v>
      </c>
    </row>
    <row r="10903" spans="18:18" ht="13.8">
      <c r="R10903" s="10">
        <v>10875</v>
      </c>
    </row>
    <row r="10904" spans="18:18" ht="13.8">
      <c r="R10904" s="10">
        <v>10876</v>
      </c>
    </row>
    <row r="10905" spans="18:18" ht="13.8">
      <c r="R10905" s="10">
        <v>10877</v>
      </c>
    </row>
    <row r="10906" spans="18:18" ht="13.8">
      <c r="R10906" s="10">
        <v>10878</v>
      </c>
    </row>
    <row r="10907" spans="18:18" ht="13.8">
      <c r="R10907" s="10">
        <v>10879</v>
      </c>
    </row>
    <row r="10908" spans="18:18" ht="13.8">
      <c r="R10908" s="10">
        <v>10880</v>
      </c>
    </row>
    <row r="10909" spans="18:18" ht="13.8">
      <c r="R10909" s="10">
        <v>10881</v>
      </c>
    </row>
    <row r="10910" spans="18:18" ht="13.8">
      <c r="R10910" s="10">
        <v>10882</v>
      </c>
    </row>
    <row r="10911" spans="18:18" ht="13.8">
      <c r="R10911" s="10">
        <v>10883</v>
      </c>
    </row>
    <row r="10912" spans="18:18" ht="13.8">
      <c r="R10912" s="10">
        <v>10884</v>
      </c>
    </row>
    <row r="10913" spans="18:18" ht="13.8">
      <c r="R10913" s="10">
        <v>10885</v>
      </c>
    </row>
    <row r="10914" spans="18:18" ht="13.8">
      <c r="R10914" s="10">
        <v>10886</v>
      </c>
    </row>
    <row r="10915" spans="18:18" ht="13.8">
      <c r="R10915" s="10">
        <v>10887</v>
      </c>
    </row>
    <row r="10916" spans="18:18" ht="13.8">
      <c r="R10916" s="10">
        <v>10888</v>
      </c>
    </row>
    <row r="10917" spans="18:18" ht="13.8">
      <c r="R10917" s="10">
        <v>10889</v>
      </c>
    </row>
    <row r="10918" spans="18:18" ht="13.8">
      <c r="R10918" s="10">
        <v>10890</v>
      </c>
    </row>
    <row r="10919" spans="18:18" ht="13.8">
      <c r="R10919" s="10">
        <v>10891</v>
      </c>
    </row>
    <row r="10920" spans="18:18" ht="13.8">
      <c r="R10920" s="10">
        <v>10892</v>
      </c>
    </row>
    <row r="10921" spans="18:18" ht="13.8">
      <c r="R10921" s="10">
        <v>10893</v>
      </c>
    </row>
    <row r="10922" spans="18:18" ht="13.8">
      <c r="R10922" s="10">
        <v>10894</v>
      </c>
    </row>
    <row r="10923" spans="18:18" ht="13.8">
      <c r="R10923" s="10">
        <v>10895</v>
      </c>
    </row>
    <row r="10924" spans="18:18" ht="13.8">
      <c r="R10924" s="10">
        <v>10896</v>
      </c>
    </row>
    <row r="10925" spans="18:18" ht="13.8">
      <c r="R10925" s="10">
        <v>10897</v>
      </c>
    </row>
    <row r="10926" spans="18:18" ht="13.8">
      <c r="R10926" s="10">
        <v>10898</v>
      </c>
    </row>
    <row r="10927" spans="18:18" ht="13.8">
      <c r="R10927" s="10">
        <v>10899</v>
      </c>
    </row>
    <row r="10928" spans="18:18" ht="13.8">
      <c r="R10928" s="10">
        <v>10900</v>
      </c>
    </row>
    <row r="10929" spans="18:18" ht="13.8">
      <c r="R10929" s="10">
        <v>10901</v>
      </c>
    </row>
    <row r="10930" spans="18:18" ht="13.8">
      <c r="R10930" s="10">
        <v>10902</v>
      </c>
    </row>
    <row r="10931" spans="18:18" ht="13.8">
      <c r="R10931" s="10">
        <v>10903</v>
      </c>
    </row>
    <row r="10932" spans="18:18" ht="13.8">
      <c r="R10932" s="10">
        <v>10904</v>
      </c>
    </row>
    <row r="10933" spans="18:18" ht="13.8">
      <c r="R10933" s="10">
        <v>10905</v>
      </c>
    </row>
    <row r="10934" spans="18:18" ht="13.8">
      <c r="R10934" s="10">
        <v>10906</v>
      </c>
    </row>
    <row r="10935" spans="18:18" ht="13.8">
      <c r="R10935" s="10">
        <v>10907</v>
      </c>
    </row>
    <row r="10936" spans="18:18" ht="13.8">
      <c r="R10936" s="10">
        <v>10908</v>
      </c>
    </row>
    <row r="10937" spans="18:18" ht="13.8">
      <c r="R10937" s="10">
        <v>10909</v>
      </c>
    </row>
    <row r="10938" spans="18:18" ht="13.8">
      <c r="R10938" s="10">
        <v>10910</v>
      </c>
    </row>
    <row r="10939" spans="18:18" ht="13.8">
      <c r="R10939" s="10">
        <v>10911</v>
      </c>
    </row>
    <row r="10940" spans="18:18" ht="13.8">
      <c r="R10940" s="10">
        <v>10912</v>
      </c>
    </row>
    <row r="10941" spans="18:18" ht="13.8">
      <c r="R10941" s="10">
        <v>10913</v>
      </c>
    </row>
    <row r="10942" spans="18:18" ht="13.8">
      <c r="R10942" s="10">
        <v>10914</v>
      </c>
    </row>
    <row r="10943" spans="18:18" ht="13.8">
      <c r="R10943" s="10">
        <v>10915</v>
      </c>
    </row>
    <row r="10944" spans="18:18" ht="13.8">
      <c r="R10944" s="10">
        <v>10916</v>
      </c>
    </row>
    <row r="10945" spans="18:18" ht="13.8">
      <c r="R10945" s="10">
        <v>10917</v>
      </c>
    </row>
    <row r="10946" spans="18:18" ht="13.8">
      <c r="R10946" s="10">
        <v>10918</v>
      </c>
    </row>
    <row r="10947" spans="18:18" ht="13.8">
      <c r="R10947" s="10">
        <v>10919</v>
      </c>
    </row>
    <row r="10948" spans="18:18" ht="13.8">
      <c r="R10948" s="10">
        <v>10920</v>
      </c>
    </row>
    <row r="10949" spans="18:18" ht="13.8">
      <c r="R10949" s="10">
        <v>10921</v>
      </c>
    </row>
    <row r="10950" spans="18:18" ht="13.8">
      <c r="R10950" s="10">
        <v>10922</v>
      </c>
    </row>
    <row r="10951" spans="18:18" ht="13.8">
      <c r="R10951" s="10">
        <v>10923</v>
      </c>
    </row>
    <row r="10952" spans="18:18" ht="13.8">
      <c r="R10952" s="10">
        <v>10924</v>
      </c>
    </row>
    <row r="10953" spans="18:18" ht="13.8">
      <c r="R10953" s="10">
        <v>10925</v>
      </c>
    </row>
    <row r="10954" spans="18:18" ht="13.8">
      <c r="R10954" s="10">
        <v>10926</v>
      </c>
    </row>
    <row r="10955" spans="18:18" ht="13.8">
      <c r="R10955" s="10">
        <v>10927</v>
      </c>
    </row>
    <row r="10956" spans="18:18" ht="13.8">
      <c r="R10956" s="10">
        <v>10928</v>
      </c>
    </row>
    <row r="10957" spans="18:18" ht="13.8">
      <c r="R10957" s="10">
        <v>10929</v>
      </c>
    </row>
    <row r="10958" spans="18:18" ht="13.8">
      <c r="R10958" s="10">
        <v>10930</v>
      </c>
    </row>
    <row r="10959" spans="18:18" ht="13.8">
      <c r="R10959" s="10">
        <v>10931</v>
      </c>
    </row>
    <row r="10960" spans="18:18" ht="13.8">
      <c r="R10960" s="10">
        <v>10932</v>
      </c>
    </row>
    <row r="10961" spans="18:18" ht="13.8">
      <c r="R10961" s="10">
        <v>10933</v>
      </c>
    </row>
    <row r="10962" spans="18:18" ht="13.8">
      <c r="R10962" s="10">
        <v>10934</v>
      </c>
    </row>
    <row r="10963" spans="18:18" ht="13.8">
      <c r="R10963" s="10">
        <v>10935</v>
      </c>
    </row>
    <row r="10964" spans="18:18" ht="13.8">
      <c r="R10964" s="10">
        <v>10936</v>
      </c>
    </row>
    <row r="10965" spans="18:18" ht="13.8">
      <c r="R10965" s="10">
        <v>10937</v>
      </c>
    </row>
    <row r="10966" spans="18:18" ht="13.8">
      <c r="R10966" s="10">
        <v>10938</v>
      </c>
    </row>
    <row r="10967" spans="18:18" ht="13.8">
      <c r="R10967" s="10">
        <v>10939</v>
      </c>
    </row>
    <row r="10968" spans="18:18" ht="13.8">
      <c r="R10968" s="10">
        <v>10940</v>
      </c>
    </row>
    <row r="10969" spans="18:18" ht="13.8">
      <c r="R10969" s="10">
        <v>10941</v>
      </c>
    </row>
    <row r="10970" spans="18:18" ht="13.8">
      <c r="R10970" s="10">
        <v>10942</v>
      </c>
    </row>
    <row r="10971" spans="18:18" ht="13.8">
      <c r="R10971" s="10">
        <v>10943</v>
      </c>
    </row>
    <row r="10972" spans="18:18" ht="13.8">
      <c r="R10972" s="10">
        <v>10944</v>
      </c>
    </row>
    <row r="10973" spans="18:18" ht="13.8">
      <c r="R10973" s="10">
        <v>10945</v>
      </c>
    </row>
    <row r="10974" spans="18:18" ht="13.8">
      <c r="R10974" s="10">
        <v>10946</v>
      </c>
    </row>
    <row r="10975" spans="18:18" ht="13.8">
      <c r="R10975" s="10">
        <v>10947</v>
      </c>
    </row>
    <row r="10976" spans="18:18" ht="13.8">
      <c r="R10976" s="10">
        <v>10948</v>
      </c>
    </row>
    <row r="10977" spans="18:18" ht="13.8">
      <c r="R10977" s="10">
        <v>10949</v>
      </c>
    </row>
    <row r="10978" spans="18:18" ht="13.8">
      <c r="R10978" s="10">
        <v>10950</v>
      </c>
    </row>
    <row r="10979" spans="18:18" ht="13.8">
      <c r="R10979" s="10">
        <v>10951</v>
      </c>
    </row>
    <row r="10980" spans="18:18" ht="13.8">
      <c r="R10980" s="10">
        <v>10952</v>
      </c>
    </row>
    <row r="10981" spans="18:18" ht="13.8">
      <c r="R10981" s="10">
        <v>10953</v>
      </c>
    </row>
    <row r="10982" spans="18:18" ht="13.8">
      <c r="R10982" s="10">
        <v>10954</v>
      </c>
    </row>
    <row r="10983" spans="18:18" ht="13.8">
      <c r="R10983" s="10">
        <v>10955</v>
      </c>
    </row>
    <row r="10984" spans="18:18" ht="13.8">
      <c r="R10984" s="10">
        <v>10956</v>
      </c>
    </row>
    <row r="10985" spans="18:18" ht="13.8">
      <c r="R10985" s="10">
        <v>10957</v>
      </c>
    </row>
    <row r="10986" spans="18:18" ht="13.8">
      <c r="R10986" s="10">
        <v>10958</v>
      </c>
    </row>
    <row r="10987" spans="18:18" ht="13.8">
      <c r="R10987" s="10">
        <v>10959</v>
      </c>
    </row>
    <row r="10988" spans="18:18" ht="13.8">
      <c r="R10988" s="10">
        <v>10960</v>
      </c>
    </row>
    <row r="10989" spans="18:18" ht="13.8">
      <c r="R10989" s="10">
        <v>10961</v>
      </c>
    </row>
    <row r="10990" spans="18:18" ht="13.8">
      <c r="R10990" s="10">
        <v>10962</v>
      </c>
    </row>
    <row r="10991" spans="18:18" ht="13.8">
      <c r="R10991" s="10">
        <v>10963</v>
      </c>
    </row>
    <row r="10992" spans="18:18" ht="13.8">
      <c r="R10992" s="10">
        <v>10964</v>
      </c>
    </row>
    <row r="10993" spans="18:18" ht="13.8">
      <c r="R10993" s="10">
        <v>10965</v>
      </c>
    </row>
    <row r="10994" spans="18:18" ht="13.8">
      <c r="R10994" s="10">
        <v>10966</v>
      </c>
    </row>
    <row r="10995" spans="18:18" ht="13.8">
      <c r="R10995" s="10">
        <v>10967</v>
      </c>
    </row>
    <row r="10996" spans="18:18" ht="13.8">
      <c r="R10996" s="10">
        <v>10968</v>
      </c>
    </row>
    <row r="10997" spans="18:18" ht="13.8">
      <c r="R10997" s="10">
        <v>10969</v>
      </c>
    </row>
    <row r="10998" spans="18:18" ht="13.8">
      <c r="R10998" s="10">
        <v>10970</v>
      </c>
    </row>
    <row r="10999" spans="18:18" ht="13.8">
      <c r="R10999" s="10">
        <v>10971</v>
      </c>
    </row>
    <row r="11000" spans="18:18" ht="13.8">
      <c r="R11000" s="10">
        <v>10972</v>
      </c>
    </row>
    <row r="11001" spans="18:18" ht="13.8">
      <c r="R11001" s="10">
        <v>10973</v>
      </c>
    </row>
    <row r="11002" spans="18:18" ht="13.8">
      <c r="R11002" s="10">
        <v>10974</v>
      </c>
    </row>
    <row r="11003" spans="18:18" ht="13.8">
      <c r="R11003" s="10">
        <v>10975</v>
      </c>
    </row>
    <row r="11004" spans="18:18" ht="13.8">
      <c r="R11004" s="10">
        <v>10976</v>
      </c>
    </row>
    <row r="11005" spans="18:18" ht="13.8">
      <c r="R11005" s="10">
        <v>10977</v>
      </c>
    </row>
    <row r="11006" spans="18:18" ht="13.8">
      <c r="R11006" s="10">
        <v>10978</v>
      </c>
    </row>
    <row r="11007" spans="18:18" ht="13.8">
      <c r="R11007" s="10">
        <v>10979</v>
      </c>
    </row>
    <row r="11008" spans="18:18" ht="13.8">
      <c r="R11008" s="10">
        <v>10980</v>
      </c>
    </row>
    <row r="11009" spans="18:18" ht="13.8">
      <c r="R11009" s="10">
        <v>10981</v>
      </c>
    </row>
    <row r="11010" spans="18:18" ht="13.8">
      <c r="R11010" s="10">
        <v>10982</v>
      </c>
    </row>
    <row r="11011" spans="18:18" ht="13.8">
      <c r="R11011" s="10">
        <v>10983</v>
      </c>
    </row>
    <row r="11012" spans="18:18" ht="13.8">
      <c r="R11012" s="10">
        <v>10984</v>
      </c>
    </row>
    <row r="11013" spans="18:18" ht="13.8">
      <c r="R11013" s="10">
        <v>10985</v>
      </c>
    </row>
    <row r="11014" spans="18:18" ht="13.8">
      <c r="R11014" s="10">
        <v>10986</v>
      </c>
    </row>
    <row r="11015" spans="18:18" ht="13.8">
      <c r="R11015" s="10">
        <v>10987</v>
      </c>
    </row>
    <row r="11016" spans="18:18" ht="13.8">
      <c r="R11016" s="10">
        <v>10988</v>
      </c>
    </row>
    <row r="11017" spans="18:18" ht="13.8">
      <c r="R11017" s="10">
        <v>10989</v>
      </c>
    </row>
    <row r="11018" spans="18:18" ht="13.8">
      <c r="R11018" s="10">
        <v>10990</v>
      </c>
    </row>
    <row r="11019" spans="18:18" ht="13.8">
      <c r="R11019" s="10">
        <v>10991</v>
      </c>
    </row>
    <row r="11020" spans="18:18" ht="13.8">
      <c r="R11020" s="10">
        <v>10992</v>
      </c>
    </row>
    <row r="11021" spans="18:18" ht="13.8">
      <c r="R11021" s="10">
        <v>10993</v>
      </c>
    </row>
    <row r="11022" spans="18:18" ht="13.8">
      <c r="R11022" s="10">
        <v>10994</v>
      </c>
    </row>
    <row r="11023" spans="18:18" ht="13.8">
      <c r="R11023" s="10">
        <v>10995</v>
      </c>
    </row>
    <row r="11024" spans="18:18" ht="13.8">
      <c r="R11024" s="10">
        <v>10996</v>
      </c>
    </row>
    <row r="11025" spans="18:18" ht="13.8">
      <c r="R11025" s="10">
        <v>10997</v>
      </c>
    </row>
    <row r="11026" spans="18:18" ht="13.8">
      <c r="R11026" s="10">
        <v>10998</v>
      </c>
    </row>
    <row r="11027" spans="18:18" ht="13.8">
      <c r="R11027" s="10">
        <v>10999</v>
      </c>
    </row>
    <row r="11028" spans="18:18" ht="13.8">
      <c r="R11028" s="10">
        <v>11000</v>
      </c>
    </row>
    <row r="11029" spans="18:18" ht="13.8">
      <c r="R11029" s="10">
        <v>11001</v>
      </c>
    </row>
    <row r="11030" spans="18:18" ht="13.8">
      <c r="R11030" s="10">
        <v>11002</v>
      </c>
    </row>
    <row r="11031" spans="18:18" ht="13.8">
      <c r="R11031" s="10">
        <v>11003</v>
      </c>
    </row>
    <row r="11032" spans="18:18" ht="13.8">
      <c r="R11032" s="10">
        <v>11004</v>
      </c>
    </row>
  </sheetData>
  <sortState xmlns:xlrd2="http://schemas.microsoft.com/office/spreadsheetml/2017/richdata2" ref="D2:D79">
    <sortCondition ref="D2:D7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S550"/>
  <sheetViews>
    <sheetView workbookViewId="0"/>
  </sheetViews>
  <sheetFormatPr baseColWidth="10" defaultColWidth="12.5546875" defaultRowHeight="15.75" customHeight="1"/>
  <cols>
    <col min="2" max="2" width="28.44140625" customWidth="1"/>
    <col min="3" max="3" width="19" customWidth="1"/>
    <col min="4" max="4" width="17.33203125" customWidth="1"/>
    <col min="5" max="5" width="21.6640625" customWidth="1"/>
    <col min="7" max="7" width="21.6640625" customWidth="1"/>
    <col min="9" max="9" width="21.6640625" customWidth="1"/>
    <col min="11" max="11" width="21.6640625" customWidth="1"/>
    <col min="13" max="13" width="21.6640625" customWidth="1"/>
    <col min="15" max="15" width="21.6640625" customWidth="1"/>
    <col min="18" max="18" width="25" customWidth="1"/>
  </cols>
  <sheetData>
    <row r="1" spans="1:19" ht="37.5" customHeight="1">
      <c r="A1" s="4" t="s">
        <v>5711</v>
      </c>
      <c r="B1" s="5" t="s">
        <v>5712</v>
      </c>
      <c r="C1" s="14" t="s">
        <v>5713</v>
      </c>
      <c r="D1" s="15" t="s">
        <v>5714</v>
      </c>
      <c r="E1" s="6" t="s">
        <v>51</v>
      </c>
      <c r="F1" s="7">
        <v>1</v>
      </c>
      <c r="G1" s="6" t="s">
        <v>52</v>
      </c>
      <c r="H1" s="7">
        <v>2</v>
      </c>
      <c r="I1" s="6" t="s">
        <v>53</v>
      </c>
      <c r="J1" s="7">
        <v>3</v>
      </c>
      <c r="K1" s="6" t="s">
        <v>54</v>
      </c>
      <c r="L1" s="7">
        <v>4</v>
      </c>
      <c r="M1" s="6" t="s">
        <v>55</v>
      </c>
      <c r="N1" s="7">
        <v>5</v>
      </c>
      <c r="O1" s="6" t="s">
        <v>56</v>
      </c>
      <c r="P1" s="7">
        <v>6</v>
      </c>
      <c r="Q1" s="4" t="s">
        <v>5715</v>
      </c>
      <c r="R1" s="4" t="s">
        <v>5716</v>
      </c>
      <c r="S1" s="8" t="s">
        <v>5684</v>
      </c>
    </row>
    <row r="2" spans="1:19" ht="234.6">
      <c r="A2" s="10" t="str">
        <f ca="1">IFERROR(__xludf.DUMMYFUNCTION("QUERY(MATRIZ_MACRO!A5:EL1779,""SELECT A WHERE EJ&lt;&gt;'No requiere'"")"),"")</f>
        <v/>
      </c>
      <c r="B2" s="10" t="str">
        <f t="shared" ref="B2:B33" ca="1" si="0">IFERROR(VLOOKUP(A2,DATA_MATRIZ,2,FALSE),"")</f>
        <v/>
      </c>
      <c r="C2" s="11" t="str">
        <f t="shared" ref="C2:C33" ca="1" si="1">IFERROR(VLOOKUP(A2,DATA_MATRIZ,3,FALSE),"")</f>
        <v/>
      </c>
      <c r="D2" s="16" t="str">
        <f t="shared" ref="D2:D33" ca="1" si="2">IFERROR(VLOOKUP(A2,DATA_MATRIZ,89,FALSE),"")</f>
        <v/>
      </c>
      <c r="E2" s="16" t="str">
        <f t="shared" ref="E2:E33" ca="1" si="3">IFERROR(VLOOKUP(A2,DATA_MATRIZ,90,FALSE),"")</f>
        <v/>
      </c>
      <c r="F2" s="16" t="str">
        <f t="shared" ref="F2:F33" ca="1" si="4">IFERROR(VLOOKUP(A2,DATA_MATRIZ,96,FALSE),"")</f>
        <v/>
      </c>
      <c r="G2" s="16" t="str">
        <f t="shared" ref="G2:G33" ca="1" si="5">IFERROR(VLOOKUP(A2,DATA_MATRIZ,91,FALSE),"")</f>
        <v/>
      </c>
      <c r="H2" s="16" t="str">
        <f t="shared" ref="H2:H33" ca="1" si="6">IFERROR(VLOOKUP(A2,DATA_MATRIZ,97,FALSE),"")</f>
        <v/>
      </c>
      <c r="I2" s="16" t="str">
        <f t="shared" ref="I2:I33" ca="1" si="7">IFERROR(VLOOKUP(A2,DATA_MATRIZ,92,FALSE),"")</f>
        <v/>
      </c>
      <c r="J2" s="16" t="str">
        <f t="shared" ref="J2:J33" ca="1" si="8">IFERROR(VLOOKUP(A2,DATA_MATRIZ,98,FALSE),"")</f>
        <v/>
      </c>
      <c r="K2" s="16" t="str">
        <f t="shared" ref="K2:K33" ca="1" si="9">IFERROR(VLOOKUP(A2,DATA_MATRIZ,93,FALSE),"")</f>
        <v/>
      </c>
      <c r="L2" s="16" t="str">
        <f t="shared" ref="L2:L33" ca="1" si="10">IFERROR(VLOOKUP(A2,DATA_MATRIZ,99,FALSE),"")</f>
        <v/>
      </c>
      <c r="M2" s="16" t="str">
        <f t="shared" ref="M2:M33" ca="1" si="11">IFERROR(VLOOKUP(A2,DATA_MATRIZ,94,FALSE),"")</f>
        <v/>
      </c>
      <c r="N2" s="16" t="str">
        <f t="shared" ref="N2:N33" ca="1" si="12">IFERROR(VLOOKUP(A2,DATA_MATRIZ,100,FALSE),"")</f>
        <v/>
      </c>
      <c r="O2" s="16" t="str">
        <f t="shared" ref="O2:O33" ca="1" si="13">IFERROR(VLOOKUP(A2,DATA_MATRIZ,95,FALSE),"")</f>
        <v/>
      </c>
      <c r="P2" s="16" t="str">
        <f t="shared" ref="P2:P33" ca="1" si="14">IFERROR(VLOOKUP(A2,DATA_MATRIZ,101,FALSE),"")</f>
        <v/>
      </c>
      <c r="Q2" s="16" t="str">
        <f t="shared" ref="Q2:Q33" ca="1" si="15">IFERROR(VLOOKUP(A2,DATA_MATRIZ,103,FALSE),"")</f>
        <v/>
      </c>
      <c r="R2" s="16" t="str">
        <f t="shared" ref="R2:R33" ca="1" si="16">IFERROR(VLOOKUP(A2,DATA_MATRIZ,105,FALSE),"")</f>
        <v/>
      </c>
      <c r="S2" s="17" t="str">
        <f t="shared" ref="S2:S33" ca="1" si="17">IFERROR(VLOOKUP(A2,DATA_MATRIZ,106,FALSE),"")</f>
        <v/>
      </c>
    </row>
    <row r="3" spans="1:19" ht="13.8">
      <c r="A3" s="10"/>
      <c r="B3" s="10" t="str">
        <f t="shared" si="0"/>
        <v/>
      </c>
      <c r="C3" s="11" t="str">
        <f t="shared" si="1"/>
        <v/>
      </c>
      <c r="D3" s="16" t="str">
        <f t="shared" si="2"/>
        <v/>
      </c>
      <c r="E3" s="16" t="str">
        <f t="shared" si="3"/>
        <v/>
      </c>
      <c r="F3" s="16" t="str">
        <f t="shared" si="4"/>
        <v/>
      </c>
      <c r="G3" s="16" t="str">
        <f t="shared" si="5"/>
        <v/>
      </c>
      <c r="H3" s="16" t="str">
        <f t="shared" si="6"/>
        <v/>
      </c>
      <c r="I3" s="16" t="str">
        <f t="shared" si="7"/>
        <v/>
      </c>
      <c r="J3" s="16" t="str">
        <f t="shared" si="8"/>
        <v/>
      </c>
      <c r="K3" s="16" t="str">
        <f t="shared" si="9"/>
        <v/>
      </c>
      <c r="L3" s="16" t="str">
        <f t="shared" si="10"/>
        <v/>
      </c>
      <c r="M3" s="16" t="str">
        <f t="shared" si="11"/>
        <v/>
      </c>
      <c r="N3" s="16" t="str">
        <f t="shared" si="12"/>
        <v/>
      </c>
      <c r="O3" s="16" t="str">
        <f t="shared" si="13"/>
        <v/>
      </c>
      <c r="P3" s="16" t="str">
        <f t="shared" si="14"/>
        <v/>
      </c>
      <c r="Q3" s="16" t="str">
        <f t="shared" si="15"/>
        <v/>
      </c>
      <c r="R3" s="16" t="str">
        <f t="shared" si="16"/>
        <v/>
      </c>
      <c r="S3" s="17" t="str">
        <f t="shared" si="17"/>
        <v/>
      </c>
    </row>
    <row r="4" spans="1:19" ht="13.8">
      <c r="A4" s="10"/>
      <c r="B4" s="10" t="str">
        <f t="shared" si="0"/>
        <v/>
      </c>
      <c r="C4" s="11" t="str">
        <f t="shared" si="1"/>
        <v/>
      </c>
      <c r="D4" s="16" t="str">
        <f t="shared" si="2"/>
        <v/>
      </c>
      <c r="E4" s="16" t="str">
        <f t="shared" si="3"/>
        <v/>
      </c>
      <c r="F4" s="16" t="str">
        <f t="shared" si="4"/>
        <v/>
      </c>
      <c r="G4" s="16" t="str">
        <f t="shared" si="5"/>
        <v/>
      </c>
      <c r="H4" s="16" t="str">
        <f t="shared" si="6"/>
        <v/>
      </c>
      <c r="I4" s="16" t="str">
        <f t="shared" si="7"/>
        <v/>
      </c>
      <c r="J4" s="16" t="str">
        <f t="shared" si="8"/>
        <v/>
      </c>
      <c r="K4" s="16" t="str">
        <f t="shared" si="9"/>
        <v/>
      </c>
      <c r="L4" s="16" t="str">
        <f t="shared" si="10"/>
        <v/>
      </c>
      <c r="M4" s="16" t="str">
        <f t="shared" si="11"/>
        <v/>
      </c>
      <c r="N4" s="16" t="str">
        <f t="shared" si="12"/>
        <v/>
      </c>
      <c r="O4" s="16" t="str">
        <f t="shared" si="13"/>
        <v/>
      </c>
      <c r="P4" s="16" t="str">
        <f t="shared" si="14"/>
        <v/>
      </c>
      <c r="Q4" s="16" t="str">
        <f t="shared" si="15"/>
        <v/>
      </c>
      <c r="R4" s="16" t="str">
        <f t="shared" si="16"/>
        <v/>
      </c>
      <c r="S4" s="17" t="str">
        <f t="shared" si="17"/>
        <v/>
      </c>
    </row>
    <row r="5" spans="1:19" ht="13.8">
      <c r="A5" s="10">
        <f ca="1">IFERROR(__xludf.DUMMYFUNCTION("""COMPUTED_VALUE"""),4)</f>
        <v>4</v>
      </c>
      <c r="B5" s="10" t="str">
        <f t="shared" ca="1" si="0"/>
        <v>Red institucional de Apoyo a las Veedurías Ciudadanas: Presentación planeación participativa del PDD</v>
      </c>
      <c r="C5" s="11">
        <f t="shared" ca="1" si="1"/>
        <v>45316</v>
      </c>
      <c r="D5" s="16">
        <f t="shared" ca="1" si="2"/>
        <v>0</v>
      </c>
      <c r="E5" s="16">
        <f t="shared" ca="1" si="3"/>
        <v>0</v>
      </c>
      <c r="F5" s="16">
        <f t="shared" ca="1" si="4"/>
        <v>0</v>
      </c>
      <c r="G5" s="16">
        <f t="shared" ca="1" si="5"/>
        <v>0</v>
      </c>
      <c r="H5" s="16">
        <f t="shared" ca="1" si="6"/>
        <v>0</v>
      </c>
      <c r="I5" s="16">
        <f t="shared" ca="1" si="7"/>
        <v>0</v>
      </c>
      <c r="J5" s="16">
        <f t="shared" ca="1" si="8"/>
        <v>0</v>
      </c>
      <c r="K5" s="16">
        <f t="shared" ca="1" si="9"/>
        <v>0</v>
      </c>
      <c r="L5" s="16">
        <f t="shared" ca="1" si="10"/>
        <v>0</v>
      </c>
      <c r="M5" s="16">
        <f t="shared" ca="1" si="11"/>
        <v>0</v>
      </c>
      <c r="N5" s="16">
        <f t="shared" ca="1" si="12"/>
        <v>0</v>
      </c>
      <c r="O5" s="16">
        <f t="shared" ca="1" si="13"/>
        <v>0</v>
      </c>
      <c r="P5" s="16">
        <f t="shared" ca="1" si="14"/>
        <v>0</v>
      </c>
      <c r="Q5" s="16">
        <f t="shared" ca="1" si="15"/>
        <v>0</v>
      </c>
      <c r="R5" s="16">
        <f t="shared" ca="1" si="16"/>
        <v>0</v>
      </c>
      <c r="S5" s="17">
        <f t="shared" ca="1" si="17"/>
        <v>0</v>
      </c>
    </row>
    <row r="6" spans="1:19" ht="96.6">
      <c r="A6" s="10">
        <f ca="1">IFERROR(__xludf.DUMMYFUNCTION("""COMPUTED_VALUE"""),5)</f>
        <v>5</v>
      </c>
      <c r="B6" s="10" t="str">
        <f t="shared" ca="1" si="0"/>
        <v>Citación sesión JAL Ciudad Bolivar - Conformación CTPD 2024</v>
      </c>
      <c r="C6" s="11">
        <f t="shared" ca="1" si="1"/>
        <v>45317</v>
      </c>
      <c r="D6" s="16">
        <f t="shared" ca="1" si="2"/>
        <v>0</v>
      </c>
      <c r="E6" s="16">
        <f t="shared" ca="1" si="3"/>
        <v>0</v>
      </c>
      <c r="F6" s="16">
        <f t="shared" ca="1" si="4"/>
        <v>0</v>
      </c>
      <c r="G6" s="16">
        <f t="shared" ca="1" si="5"/>
        <v>0</v>
      </c>
      <c r="H6" s="16">
        <f t="shared" ca="1" si="6"/>
        <v>0</v>
      </c>
      <c r="I6" s="16">
        <f t="shared" ca="1" si="7"/>
        <v>0</v>
      </c>
      <c r="J6" s="16">
        <f t="shared" ca="1" si="8"/>
        <v>0</v>
      </c>
      <c r="K6" s="16">
        <f t="shared" ca="1" si="9"/>
        <v>0</v>
      </c>
      <c r="L6" s="16">
        <f t="shared" ca="1" si="10"/>
        <v>0</v>
      </c>
      <c r="M6" s="16">
        <f t="shared" ca="1" si="11"/>
        <v>0</v>
      </c>
      <c r="N6" s="16">
        <f t="shared" ca="1" si="12"/>
        <v>0</v>
      </c>
      <c r="O6" s="16">
        <f t="shared" ca="1" si="13"/>
        <v>0</v>
      </c>
      <c r="P6" s="16">
        <f t="shared" ca="1" si="14"/>
        <v>0</v>
      </c>
      <c r="Q6" s="16">
        <f t="shared" ca="1" si="15"/>
        <v>0</v>
      </c>
      <c r="R6" s="16">
        <f t="shared" ca="1" si="16"/>
        <v>0</v>
      </c>
      <c r="S6" s="17">
        <f t="shared" ca="1" si="17"/>
        <v>0</v>
      </c>
    </row>
    <row r="7" spans="1:19" ht="55.2">
      <c r="A7" s="10">
        <f ca="1">IFERROR(__xludf.DUMMYFUNCTION("""COMPUTED_VALUE"""),6)</f>
        <v>6</v>
      </c>
      <c r="B7" s="10" t="str">
        <f t="shared" ca="1" si="0"/>
        <v>Taller Actuación Estratégica AEDA - Líderes de JAC Engativá</v>
      </c>
      <c r="C7" s="11">
        <f t="shared" ca="1" si="1"/>
        <v>45317</v>
      </c>
      <c r="D7" s="16">
        <f t="shared" ca="1" si="2"/>
        <v>0</v>
      </c>
      <c r="E7" s="16">
        <f t="shared" ca="1" si="3"/>
        <v>0</v>
      </c>
      <c r="F7" s="16">
        <f t="shared" ca="1" si="4"/>
        <v>0</v>
      </c>
      <c r="G7" s="16">
        <f t="shared" ca="1" si="5"/>
        <v>0</v>
      </c>
      <c r="H7" s="16">
        <f t="shared" ca="1" si="6"/>
        <v>0</v>
      </c>
      <c r="I7" s="16">
        <f t="shared" ca="1" si="7"/>
        <v>0</v>
      </c>
      <c r="J7" s="16">
        <f t="shared" ca="1" si="8"/>
        <v>0</v>
      </c>
      <c r="K7" s="16">
        <f t="shared" ca="1" si="9"/>
        <v>0</v>
      </c>
      <c r="L7" s="16">
        <f t="shared" ca="1" si="10"/>
        <v>0</v>
      </c>
      <c r="M7" s="16">
        <f t="shared" ca="1" si="11"/>
        <v>0</v>
      </c>
      <c r="N7" s="16">
        <f t="shared" ca="1" si="12"/>
        <v>0</v>
      </c>
      <c r="O7" s="16">
        <f t="shared" ca="1" si="13"/>
        <v>0</v>
      </c>
      <c r="P7" s="16">
        <f t="shared" ca="1" si="14"/>
        <v>0</v>
      </c>
      <c r="Q7" s="16">
        <f t="shared" ca="1" si="15"/>
        <v>0</v>
      </c>
      <c r="R7" s="16">
        <f t="shared" ca="1" si="16"/>
        <v>0</v>
      </c>
      <c r="S7" s="17">
        <f t="shared" ca="1" si="17"/>
        <v>0</v>
      </c>
    </row>
    <row r="8" spans="1:19" ht="165.6">
      <c r="A8" s="10">
        <f ca="1">IFERROR(__xludf.DUMMYFUNCTION("""COMPUTED_VALUE"""),7)</f>
        <v>7</v>
      </c>
      <c r="B8" s="10" t="str">
        <f t="shared" ca="1" si="0"/>
        <v>Entrega de certificados - Plan de Formación CTPD 2023</v>
      </c>
      <c r="C8" s="11">
        <f t="shared" ca="1" si="1"/>
        <v>45317</v>
      </c>
      <c r="D8" s="16">
        <f t="shared" ca="1" si="2"/>
        <v>0</v>
      </c>
      <c r="E8" s="16">
        <f t="shared" ca="1" si="3"/>
        <v>0</v>
      </c>
      <c r="F8" s="16">
        <f t="shared" ca="1" si="4"/>
        <v>0</v>
      </c>
      <c r="G8" s="16">
        <f t="shared" ca="1" si="5"/>
        <v>0</v>
      </c>
      <c r="H8" s="16">
        <f t="shared" ca="1" si="6"/>
        <v>0</v>
      </c>
      <c r="I8" s="16">
        <f t="shared" ca="1" si="7"/>
        <v>0</v>
      </c>
      <c r="J8" s="16">
        <f t="shared" ca="1" si="8"/>
        <v>0</v>
      </c>
      <c r="K8" s="16">
        <f t="shared" ca="1" si="9"/>
        <v>0</v>
      </c>
      <c r="L8" s="16">
        <f t="shared" ca="1" si="10"/>
        <v>0</v>
      </c>
      <c r="M8" s="16">
        <f t="shared" ca="1" si="11"/>
        <v>0</v>
      </c>
      <c r="N8" s="16">
        <f t="shared" ca="1" si="12"/>
        <v>0</v>
      </c>
      <c r="O8" s="16">
        <f t="shared" ca="1" si="13"/>
        <v>0</v>
      </c>
      <c r="P8" s="16">
        <f t="shared" ca="1" si="14"/>
        <v>0</v>
      </c>
      <c r="Q8" s="16">
        <f t="shared" ca="1" si="15"/>
        <v>0</v>
      </c>
      <c r="R8" s="16">
        <f t="shared" ca="1" si="16"/>
        <v>0</v>
      </c>
      <c r="S8" s="17">
        <f t="shared" ca="1" si="17"/>
        <v>0</v>
      </c>
    </row>
    <row r="9" spans="1:19" ht="13.8">
      <c r="A9" s="10"/>
      <c r="B9" s="10" t="str">
        <f t="shared" si="0"/>
        <v/>
      </c>
      <c r="C9" s="11" t="str">
        <f t="shared" si="1"/>
        <v/>
      </c>
      <c r="D9" s="16" t="str">
        <f t="shared" si="2"/>
        <v/>
      </c>
      <c r="E9" s="16" t="str">
        <f t="shared" si="3"/>
        <v/>
      </c>
      <c r="F9" s="16" t="str">
        <f t="shared" si="4"/>
        <v/>
      </c>
      <c r="G9" s="16" t="str">
        <f t="shared" si="5"/>
        <v/>
      </c>
      <c r="H9" s="16" t="str">
        <f t="shared" si="6"/>
        <v/>
      </c>
      <c r="I9" s="16" t="str">
        <f t="shared" si="7"/>
        <v/>
      </c>
      <c r="J9" s="16" t="str">
        <f t="shared" si="8"/>
        <v/>
      </c>
      <c r="K9" s="16" t="str">
        <f t="shared" si="9"/>
        <v/>
      </c>
      <c r="L9" s="16" t="str">
        <f t="shared" si="10"/>
        <v/>
      </c>
      <c r="M9" s="16" t="str">
        <f t="shared" si="11"/>
        <v/>
      </c>
      <c r="N9" s="16" t="str">
        <f t="shared" si="12"/>
        <v/>
      </c>
      <c r="O9" s="16" t="str">
        <f t="shared" si="13"/>
        <v/>
      </c>
      <c r="P9" s="16" t="str">
        <f t="shared" si="14"/>
        <v/>
      </c>
      <c r="Q9" s="16" t="str">
        <f t="shared" si="15"/>
        <v/>
      </c>
      <c r="R9" s="16" t="str">
        <f t="shared" si="16"/>
        <v/>
      </c>
      <c r="S9" s="17" t="str">
        <f t="shared" si="17"/>
        <v/>
      </c>
    </row>
    <row r="10" spans="1:19" ht="13.8">
      <c r="A10" s="10"/>
      <c r="B10" s="10" t="str">
        <f t="shared" si="0"/>
        <v/>
      </c>
      <c r="C10" s="11" t="str">
        <f t="shared" si="1"/>
        <v/>
      </c>
      <c r="D10" s="16" t="str">
        <f t="shared" si="2"/>
        <v/>
      </c>
      <c r="E10" s="16" t="str">
        <f t="shared" si="3"/>
        <v/>
      </c>
      <c r="F10" s="16" t="str">
        <f t="shared" si="4"/>
        <v/>
      </c>
      <c r="G10" s="16" t="str">
        <f t="shared" si="5"/>
        <v/>
      </c>
      <c r="H10" s="16" t="str">
        <f t="shared" si="6"/>
        <v/>
      </c>
      <c r="I10" s="16" t="str">
        <f t="shared" si="7"/>
        <v/>
      </c>
      <c r="J10" s="16" t="str">
        <f t="shared" si="8"/>
        <v/>
      </c>
      <c r="K10" s="16" t="str">
        <f t="shared" si="9"/>
        <v/>
      </c>
      <c r="L10" s="16" t="str">
        <f t="shared" si="10"/>
        <v/>
      </c>
      <c r="M10" s="16" t="str">
        <f t="shared" si="11"/>
        <v/>
      </c>
      <c r="N10" s="16" t="str">
        <f t="shared" si="12"/>
        <v/>
      </c>
      <c r="O10" s="16" t="str">
        <f t="shared" si="13"/>
        <v/>
      </c>
      <c r="P10" s="16" t="str">
        <f t="shared" si="14"/>
        <v/>
      </c>
      <c r="Q10" s="16" t="str">
        <f t="shared" si="15"/>
        <v/>
      </c>
      <c r="R10" s="16" t="str">
        <f t="shared" si="16"/>
        <v/>
      </c>
      <c r="S10" s="17" t="str">
        <f t="shared" si="17"/>
        <v/>
      </c>
    </row>
    <row r="11" spans="1:19" ht="13.8">
      <c r="A11" s="10"/>
      <c r="B11" s="10" t="str">
        <f t="shared" si="0"/>
        <v/>
      </c>
      <c r="C11" s="11" t="str">
        <f t="shared" si="1"/>
        <v/>
      </c>
      <c r="D11" s="16" t="str">
        <f t="shared" si="2"/>
        <v/>
      </c>
      <c r="E11" s="16" t="str">
        <f t="shared" si="3"/>
        <v/>
      </c>
      <c r="F11" s="16" t="str">
        <f t="shared" si="4"/>
        <v/>
      </c>
      <c r="G11" s="16" t="str">
        <f t="shared" si="5"/>
        <v/>
      </c>
      <c r="H11" s="16" t="str">
        <f t="shared" si="6"/>
        <v/>
      </c>
      <c r="I11" s="16" t="str">
        <f t="shared" si="7"/>
        <v/>
      </c>
      <c r="J11" s="16" t="str">
        <f t="shared" si="8"/>
        <v/>
      </c>
      <c r="K11" s="16" t="str">
        <f t="shared" si="9"/>
        <v/>
      </c>
      <c r="L11" s="16" t="str">
        <f t="shared" si="10"/>
        <v/>
      </c>
      <c r="M11" s="16" t="str">
        <f t="shared" si="11"/>
        <v/>
      </c>
      <c r="N11" s="16" t="str">
        <f t="shared" si="12"/>
        <v/>
      </c>
      <c r="O11" s="16" t="str">
        <f t="shared" si="13"/>
        <v/>
      </c>
      <c r="P11" s="16" t="str">
        <f t="shared" si="14"/>
        <v/>
      </c>
      <c r="Q11" s="16" t="str">
        <f t="shared" si="15"/>
        <v/>
      </c>
      <c r="R11" s="16" t="str">
        <f t="shared" si="16"/>
        <v/>
      </c>
      <c r="S11" s="17" t="str">
        <f t="shared" si="17"/>
        <v/>
      </c>
    </row>
    <row r="12" spans="1:19" ht="27.6">
      <c r="A12" s="10">
        <f ca="1">IFERROR(__xludf.DUMMYFUNCTION("""COMPUTED_VALUE"""),11)</f>
        <v>11</v>
      </c>
      <c r="B12" s="10" t="str">
        <f t="shared" ca="1" si="0"/>
        <v>Instalación protocolaria de los Consejos de Planeación Local - CPL</v>
      </c>
      <c r="C12" s="11">
        <f t="shared" ca="1" si="1"/>
        <v>45324</v>
      </c>
      <c r="D12" s="16">
        <f t="shared" ca="1" si="2"/>
        <v>0</v>
      </c>
      <c r="E12" s="16">
        <f t="shared" ca="1" si="3"/>
        <v>0</v>
      </c>
      <c r="F12" s="16">
        <f t="shared" ca="1" si="4"/>
        <v>0</v>
      </c>
      <c r="G12" s="16">
        <f t="shared" ca="1" si="5"/>
        <v>0</v>
      </c>
      <c r="H12" s="16">
        <f t="shared" ca="1" si="6"/>
        <v>0</v>
      </c>
      <c r="I12" s="16">
        <f t="shared" ca="1" si="7"/>
        <v>0</v>
      </c>
      <c r="J12" s="16">
        <f t="shared" ca="1" si="8"/>
        <v>0</v>
      </c>
      <c r="K12" s="16">
        <f t="shared" ca="1" si="9"/>
        <v>0</v>
      </c>
      <c r="L12" s="16">
        <f t="shared" ca="1" si="10"/>
        <v>0</v>
      </c>
      <c r="M12" s="16">
        <f t="shared" ca="1" si="11"/>
        <v>0</v>
      </c>
      <c r="N12" s="16">
        <f t="shared" ca="1" si="12"/>
        <v>0</v>
      </c>
      <c r="O12" s="16">
        <f t="shared" ca="1" si="13"/>
        <v>0</v>
      </c>
      <c r="P12" s="16">
        <f t="shared" ca="1" si="14"/>
        <v>0</v>
      </c>
      <c r="Q12" s="16">
        <f t="shared" ca="1" si="15"/>
        <v>0</v>
      </c>
      <c r="R12" s="16">
        <f t="shared" ca="1" si="16"/>
        <v>0</v>
      </c>
      <c r="S12" s="17">
        <f t="shared" ca="1" si="17"/>
        <v>0</v>
      </c>
    </row>
    <row r="13" spans="1:19" ht="13.8">
      <c r="A13" s="10"/>
      <c r="B13" s="10" t="str">
        <f t="shared" si="0"/>
        <v/>
      </c>
      <c r="C13" s="11" t="str">
        <f t="shared" si="1"/>
        <v/>
      </c>
      <c r="D13" s="16" t="str">
        <f t="shared" si="2"/>
        <v/>
      </c>
      <c r="E13" s="16" t="str">
        <f t="shared" si="3"/>
        <v/>
      </c>
      <c r="F13" s="16" t="str">
        <f t="shared" si="4"/>
        <v/>
      </c>
      <c r="G13" s="16" t="str">
        <f t="shared" si="5"/>
        <v/>
      </c>
      <c r="H13" s="16" t="str">
        <f t="shared" si="6"/>
        <v/>
      </c>
      <c r="I13" s="16" t="str">
        <f t="shared" si="7"/>
        <v/>
      </c>
      <c r="J13" s="16" t="str">
        <f t="shared" si="8"/>
        <v/>
      </c>
      <c r="K13" s="16" t="str">
        <f t="shared" si="9"/>
        <v/>
      </c>
      <c r="L13" s="16" t="str">
        <f t="shared" si="10"/>
        <v/>
      </c>
      <c r="M13" s="16" t="str">
        <f t="shared" si="11"/>
        <v/>
      </c>
      <c r="N13" s="16" t="str">
        <f t="shared" si="12"/>
        <v/>
      </c>
      <c r="O13" s="16" t="str">
        <f t="shared" si="13"/>
        <v/>
      </c>
      <c r="P13" s="16" t="str">
        <f t="shared" si="14"/>
        <v/>
      </c>
      <c r="Q13" s="16" t="str">
        <f t="shared" si="15"/>
        <v/>
      </c>
      <c r="R13" s="16" t="str">
        <f t="shared" si="16"/>
        <v/>
      </c>
      <c r="S13" s="17" t="str">
        <f t="shared" si="17"/>
        <v/>
      </c>
    </row>
    <row r="14" spans="1:19" ht="13.8">
      <c r="A14" s="10"/>
      <c r="B14" s="10" t="str">
        <f t="shared" si="0"/>
        <v/>
      </c>
      <c r="C14" s="11" t="str">
        <f t="shared" si="1"/>
        <v/>
      </c>
      <c r="D14" s="16" t="str">
        <f t="shared" si="2"/>
        <v/>
      </c>
      <c r="E14" s="16" t="str">
        <f t="shared" si="3"/>
        <v/>
      </c>
      <c r="F14" s="16" t="str">
        <f t="shared" si="4"/>
        <v/>
      </c>
      <c r="G14" s="16" t="str">
        <f t="shared" si="5"/>
        <v/>
      </c>
      <c r="H14" s="16" t="str">
        <f t="shared" si="6"/>
        <v/>
      </c>
      <c r="I14" s="16" t="str">
        <f t="shared" si="7"/>
        <v/>
      </c>
      <c r="J14" s="16" t="str">
        <f t="shared" si="8"/>
        <v/>
      </c>
      <c r="K14" s="16" t="str">
        <f t="shared" si="9"/>
        <v/>
      </c>
      <c r="L14" s="16" t="str">
        <f t="shared" si="10"/>
        <v/>
      </c>
      <c r="M14" s="16" t="str">
        <f t="shared" si="11"/>
        <v/>
      </c>
      <c r="N14" s="16" t="str">
        <f t="shared" si="12"/>
        <v/>
      </c>
      <c r="O14" s="16" t="str">
        <f t="shared" si="13"/>
        <v/>
      </c>
      <c r="P14" s="16" t="str">
        <f t="shared" si="14"/>
        <v/>
      </c>
      <c r="Q14" s="16" t="str">
        <f t="shared" si="15"/>
        <v/>
      </c>
      <c r="R14" s="16" t="str">
        <f t="shared" si="16"/>
        <v/>
      </c>
      <c r="S14" s="17" t="str">
        <f t="shared" si="17"/>
        <v/>
      </c>
    </row>
    <row r="15" spans="1:19" ht="13.8">
      <c r="A15" s="10"/>
      <c r="B15" s="10" t="str">
        <f t="shared" si="0"/>
        <v/>
      </c>
      <c r="C15" s="11" t="str">
        <f t="shared" si="1"/>
        <v/>
      </c>
      <c r="D15" s="16" t="str">
        <f t="shared" si="2"/>
        <v/>
      </c>
      <c r="E15" s="16" t="str">
        <f t="shared" si="3"/>
        <v/>
      </c>
      <c r="F15" s="16" t="str">
        <f t="shared" si="4"/>
        <v/>
      </c>
      <c r="G15" s="16" t="str">
        <f t="shared" si="5"/>
        <v/>
      </c>
      <c r="H15" s="16" t="str">
        <f t="shared" si="6"/>
        <v/>
      </c>
      <c r="I15" s="16" t="str">
        <f t="shared" si="7"/>
        <v/>
      </c>
      <c r="J15" s="16" t="str">
        <f t="shared" si="8"/>
        <v/>
      </c>
      <c r="K15" s="16" t="str">
        <f t="shared" si="9"/>
        <v/>
      </c>
      <c r="L15" s="16" t="str">
        <f t="shared" si="10"/>
        <v/>
      </c>
      <c r="M15" s="16" t="str">
        <f t="shared" si="11"/>
        <v/>
      </c>
      <c r="N15" s="16" t="str">
        <f t="shared" si="12"/>
        <v/>
      </c>
      <c r="O15" s="16" t="str">
        <f t="shared" si="13"/>
        <v/>
      </c>
      <c r="P15" s="16" t="str">
        <f t="shared" si="14"/>
        <v/>
      </c>
      <c r="Q15" s="16" t="str">
        <f t="shared" si="15"/>
        <v/>
      </c>
      <c r="R15" s="16" t="str">
        <f t="shared" si="16"/>
        <v/>
      </c>
      <c r="S15" s="17" t="str">
        <f t="shared" si="17"/>
        <v/>
      </c>
    </row>
    <row r="16" spans="1:19" ht="13.8">
      <c r="A16" s="10"/>
      <c r="B16" s="10" t="str">
        <f t="shared" si="0"/>
        <v/>
      </c>
      <c r="C16" s="11" t="str">
        <f t="shared" si="1"/>
        <v/>
      </c>
      <c r="D16" s="16" t="str">
        <f t="shared" si="2"/>
        <v/>
      </c>
      <c r="E16" s="16" t="str">
        <f t="shared" si="3"/>
        <v/>
      </c>
      <c r="F16" s="16" t="str">
        <f t="shared" si="4"/>
        <v/>
      </c>
      <c r="G16" s="16" t="str">
        <f t="shared" si="5"/>
        <v/>
      </c>
      <c r="H16" s="16" t="str">
        <f t="shared" si="6"/>
        <v/>
      </c>
      <c r="I16" s="16" t="str">
        <f t="shared" si="7"/>
        <v/>
      </c>
      <c r="J16" s="16" t="str">
        <f t="shared" si="8"/>
        <v/>
      </c>
      <c r="K16" s="16" t="str">
        <f t="shared" si="9"/>
        <v/>
      </c>
      <c r="L16" s="16" t="str">
        <f t="shared" si="10"/>
        <v/>
      </c>
      <c r="M16" s="16" t="str">
        <f t="shared" si="11"/>
        <v/>
      </c>
      <c r="N16" s="16" t="str">
        <f t="shared" si="12"/>
        <v/>
      </c>
      <c r="O16" s="16" t="str">
        <f t="shared" si="13"/>
        <v/>
      </c>
      <c r="P16" s="16" t="str">
        <f t="shared" si="14"/>
        <v/>
      </c>
      <c r="Q16" s="16" t="str">
        <f t="shared" si="15"/>
        <v/>
      </c>
      <c r="R16" s="16" t="str">
        <f t="shared" si="16"/>
        <v/>
      </c>
      <c r="S16" s="17" t="str">
        <f t="shared" si="17"/>
        <v/>
      </c>
    </row>
    <row r="17" spans="1:19" ht="41.4">
      <c r="A17" s="10">
        <f ca="1">IFERROR(__xludf.DUMMYFUNCTION("""COMPUTED_VALUE"""),16)</f>
        <v>16</v>
      </c>
      <c r="B17" s="10" t="str">
        <f t="shared" ca="1" si="0"/>
        <v>Conversatorio Nacional 1-2024 de Red de consejeros territoriales de planeación</v>
      </c>
      <c r="C17" s="11">
        <f t="shared" ca="1" si="1"/>
        <v>45331</v>
      </c>
      <c r="D17" s="16">
        <f t="shared" ca="1" si="2"/>
        <v>0</v>
      </c>
      <c r="E17" s="16">
        <f t="shared" ca="1" si="3"/>
        <v>0</v>
      </c>
      <c r="F17" s="16">
        <f t="shared" ca="1" si="4"/>
        <v>0</v>
      </c>
      <c r="G17" s="16">
        <f t="shared" ca="1" si="5"/>
        <v>0</v>
      </c>
      <c r="H17" s="16">
        <f t="shared" ca="1" si="6"/>
        <v>0</v>
      </c>
      <c r="I17" s="16">
        <f t="shared" ca="1" si="7"/>
        <v>0</v>
      </c>
      <c r="J17" s="16">
        <f t="shared" ca="1" si="8"/>
        <v>0</v>
      </c>
      <c r="K17" s="16">
        <f t="shared" ca="1" si="9"/>
        <v>0</v>
      </c>
      <c r="L17" s="16">
        <f t="shared" ca="1" si="10"/>
        <v>0</v>
      </c>
      <c r="M17" s="16">
        <f t="shared" ca="1" si="11"/>
        <v>0</v>
      </c>
      <c r="N17" s="16">
        <f t="shared" ca="1" si="12"/>
        <v>0</v>
      </c>
      <c r="O17" s="16">
        <f t="shared" ca="1" si="13"/>
        <v>0</v>
      </c>
      <c r="P17" s="16">
        <f t="shared" ca="1" si="14"/>
        <v>0</v>
      </c>
      <c r="Q17" s="16">
        <f t="shared" ca="1" si="15"/>
        <v>0</v>
      </c>
      <c r="R17" s="16">
        <f t="shared" ca="1" si="16"/>
        <v>0</v>
      </c>
      <c r="S17" s="17">
        <f t="shared" ca="1" si="17"/>
        <v>0</v>
      </c>
    </row>
    <row r="18" spans="1:19" ht="13.8">
      <c r="A18" s="10"/>
      <c r="B18" s="10" t="str">
        <f t="shared" si="0"/>
        <v/>
      </c>
      <c r="C18" s="11" t="str">
        <f t="shared" si="1"/>
        <v/>
      </c>
      <c r="D18" s="16" t="str">
        <f t="shared" si="2"/>
        <v/>
      </c>
      <c r="E18" s="16" t="str">
        <f t="shared" si="3"/>
        <v/>
      </c>
      <c r="F18" s="16" t="str">
        <f t="shared" si="4"/>
        <v/>
      </c>
      <c r="G18" s="16" t="str">
        <f t="shared" si="5"/>
        <v/>
      </c>
      <c r="H18" s="16" t="str">
        <f t="shared" si="6"/>
        <v/>
      </c>
      <c r="I18" s="16" t="str">
        <f t="shared" si="7"/>
        <v/>
      </c>
      <c r="J18" s="16" t="str">
        <f t="shared" si="8"/>
        <v/>
      </c>
      <c r="K18" s="16" t="str">
        <f t="shared" si="9"/>
        <v/>
      </c>
      <c r="L18" s="16" t="str">
        <f t="shared" si="10"/>
        <v/>
      </c>
      <c r="M18" s="16" t="str">
        <f t="shared" si="11"/>
        <v/>
      </c>
      <c r="N18" s="16" t="str">
        <f t="shared" si="12"/>
        <v/>
      </c>
      <c r="O18" s="16" t="str">
        <f t="shared" si="13"/>
        <v/>
      </c>
      <c r="P18" s="16" t="str">
        <f t="shared" si="14"/>
        <v/>
      </c>
      <c r="Q18" s="16" t="str">
        <f t="shared" si="15"/>
        <v/>
      </c>
      <c r="R18" s="16" t="str">
        <f t="shared" si="16"/>
        <v/>
      </c>
      <c r="S18" s="17" t="str">
        <f t="shared" si="17"/>
        <v/>
      </c>
    </row>
    <row r="19" spans="1:19" ht="41.4">
      <c r="A19" s="10">
        <f ca="1">IFERROR(__xludf.DUMMYFUNCTION("""COMPUTED_VALUE"""),18)</f>
        <v>18</v>
      </c>
      <c r="B19" s="10" t="str">
        <f t="shared" ca="1" si="0"/>
        <v>Presentación estrategia PDD - Comisión Intersectorial de Participación (CIP)</v>
      </c>
      <c r="C19" s="11">
        <f t="shared" ca="1" si="1"/>
        <v>45331</v>
      </c>
      <c r="D19" s="16">
        <f t="shared" ca="1" si="2"/>
        <v>0</v>
      </c>
      <c r="E19" s="16">
        <f t="shared" ca="1" si="3"/>
        <v>0</v>
      </c>
      <c r="F19" s="16">
        <f t="shared" ca="1" si="4"/>
        <v>0</v>
      </c>
      <c r="G19" s="16">
        <f t="shared" ca="1" si="5"/>
        <v>0</v>
      </c>
      <c r="H19" s="16">
        <f t="shared" ca="1" si="6"/>
        <v>0</v>
      </c>
      <c r="I19" s="16">
        <f t="shared" ca="1" si="7"/>
        <v>0</v>
      </c>
      <c r="J19" s="16">
        <f t="shared" ca="1" si="8"/>
        <v>0</v>
      </c>
      <c r="K19" s="16">
        <f t="shared" ca="1" si="9"/>
        <v>0</v>
      </c>
      <c r="L19" s="16">
        <f t="shared" ca="1" si="10"/>
        <v>0</v>
      </c>
      <c r="M19" s="16">
        <f t="shared" ca="1" si="11"/>
        <v>0</v>
      </c>
      <c r="N19" s="16">
        <f t="shared" ca="1" si="12"/>
        <v>0</v>
      </c>
      <c r="O19" s="16">
        <f t="shared" ca="1" si="13"/>
        <v>0</v>
      </c>
      <c r="P19" s="16">
        <f t="shared" ca="1" si="14"/>
        <v>0</v>
      </c>
      <c r="Q19" s="16">
        <f t="shared" ca="1" si="15"/>
        <v>0</v>
      </c>
      <c r="R19" s="16">
        <f t="shared" ca="1" si="16"/>
        <v>0</v>
      </c>
      <c r="S19" s="17">
        <f t="shared" ca="1" si="17"/>
        <v>0</v>
      </c>
    </row>
    <row r="20" spans="1:19" ht="13.8">
      <c r="A20" s="10">
        <f ca="1">IFERROR(__xludf.DUMMYFUNCTION("""COMPUTED_VALUE"""),19)</f>
        <v>19</v>
      </c>
      <c r="B20" s="10" t="str">
        <f t="shared" ca="1" si="0"/>
        <v>Asamblea Acupasa</v>
      </c>
      <c r="C20" s="11">
        <f t="shared" ca="1" si="1"/>
        <v>45333</v>
      </c>
      <c r="D20" s="16">
        <f t="shared" ca="1" si="2"/>
        <v>0</v>
      </c>
      <c r="E20" s="16">
        <f t="shared" ca="1" si="3"/>
        <v>0</v>
      </c>
      <c r="F20" s="16">
        <f t="shared" ca="1" si="4"/>
        <v>0</v>
      </c>
      <c r="G20" s="16">
        <f t="shared" ca="1" si="5"/>
        <v>0</v>
      </c>
      <c r="H20" s="16">
        <f t="shared" ca="1" si="6"/>
        <v>0</v>
      </c>
      <c r="I20" s="16">
        <f t="shared" ca="1" si="7"/>
        <v>0</v>
      </c>
      <c r="J20" s="16">
        <f t="shared" ca="1" si="8"/>
        <v>0</v>
      </c>
      <c r="K20" s="16">
        <f t="shared" ca="1" si="9"/>
        <v>0</v>
      </c>
      <c r="L20" s="16">
        <f t="shared" ca="1" si="10"/>
        <v>0</v>
      </c>
      <c r="M20" s="16">
        <f t="shared" ca="1" si="11"/>
        <v>0</v>
      </c>
      <c r="N20" s="16">
        <f t="shared" ca="1" si="12"/>
        <v>0</v>
      </c>
      <c r="O20" s="16">
        <f t="shared" ca="1" si="13"/>
        <v>0</v>
      </c>
      <c r="P20" s="16">
        <f t="shared" ca="1" si="14"/>
        <v>0</v>
      </c>
      <c r="Q20" s="16">
        <f t="shared" ca="1" si="15"/>
        <v>0</v>
      </c>
      <c r="R20" s="16">
        <f t="shared" ca="1" si="16"/>
        <v>0</v>
      </c>
      <c r="S20" s="17">
        <f t="shared" ca="1" si="17"/>
        <v>0</v>
      </c>
    </row>
    <row r="21" spans="1:19" ht="13.8">
      <c r="A21" s="10"/>
      <c r="B21" s="10" t="str">
        <f t="shared" si="0"/>
        <v/>
      </c>
      <c r="C21" s="11" t="str">
        <f t="shared" si="1"/>
        <v/>
      </c>
      <c r="D21" s="16" t="str">
        <f t="shared" si="2"/>
        <v/>
      </c>
      <c r="E21" s="16" t="str">
        <f t="shared" si="3"/>
        <v/>
      </c>
      <c r="F21" s="16" t="str">
        <f t="shared" si="4"/>
        <v/>
      </c>
      <c r="G21" s="16" t="str">
        <f t="shared" si="5"/>
        <v/>
      </c>
      <c r="H21" s="16" t="str">
        <f t="shared" si="6"/>
        <v/>
      </c>
      <c r="I21" s="16" t="str">
        <f t="shared" si="7"/>
        <v/>
      </c>
      <c r="J21" s="16" t="str">
        <f t="shared" si="8"/>
        <v/>
      </c>
      <c r="K21" s="16" t="str">
        <f t="shared" si="9"/>
        <v/>
      </c>
      <c r="L21" s="16" t="str">
        <f t="shared" si="10"/>
        <v/>
      </c>
      <c r="M21" s="16" t="str">
        <f t="shared" si="11"/>
        <v/>
      </c>
      <c r="N21" s="16" t="str">
        <f t="shared" si="12"/>
        <v/>
      </c>
      <c r="O21" s="16" t="str">
        <f t="shared" si="13"/>
        <v/>
      </c>
      <c r="P21" s="16" t="str">
        <f t="shared" si="14"/>
        <v/>
      </c>
      <c r="Q21" s="16" t="str">
        <f t="shared" si="15"/>
        <v/>
      </c>
      <c r="R21" s="16" t="str">
        <f t="shared" si="16"/>
        <v/>
      </c>
      <c r="S21" s="17" t="str">
        <f t="shared" si="17"/>
        <v/>
      </c>
    </row>
    <row r="22" spans="1:19" ht="27.6">
      <c r="A22" s="10">
        <f ca="1">IFERROR(__xludf.DUMMYFUNCTION("""COMPUTED_VALUE"""),21)</f>
        <v>21</v>
      </c>
      <c r="B22" s="10" t="str">
        <f t="shared" ca="1" si="0"/>
        <v>Presentación participación PDD y sondeos - Consejo de Participación</v>
      </c>
      <c r="C22" s="11">
        <f t="shared" ca="1" si="1"/>
        <v>45335</v>
      </c>
      <c r="D22" s="16">
        <f t="shared" ca="1" si="2"/>
        <v>0</v>
      </c>
      <c r="E22" s="16">
        <f t="shared" ca="1" si="3"/>
        <v>0</v>
      </c>
      <c r="F22" s="16">
        <f t="shared" ca="1" si="4"/>
        <v>0</v>
      </c>
      <c r="G22" s="16">
        <f t="shared" ca="1" si="5"/>
        <v>0</v>
      </c>
      <c r="H22" s="16">
        <f t="shared" ca="1" si="6"/>
        <v>0</v>
      </c>
      <c r="I22" s="16">
        <f t="shared" ca="1" si="7"/>
        <v>0</v>
      </c>
      <c r="J22" s="16">
        <f t="shared" ca="1" si="8"/>
        <v>0</v>
      </c>
      <c r="K22" s="16">
        <f t="shared" ca="1" si="9"/>
        <v>0</v>
      </c>
      <c r="L22" s="16">
        <f t="shared" ca="1" si="10"/>
        <v>0</v>
      </c>
      <c r="M22" s="16">
        <f t="shared" ca="1" si="11"/>
        <v>0</v>
      </c>
      <c r="N22" s="16">
        <f t="shared" ca="1" si="12"/>
        <v>0</v>
      </c>
      <c r="O22" s="16">
        <f t="shared" ca="1" si="13"/>
        <v>0</v>
      </c>
      <c r="P22" s="16">
        <f t="shared" ca="1" si="14"/>
        <v>0</v>
      </c>
      <c r="Q22" s="16">
        <f t="shared" ca="1" si="15"/>
        <v>0</v>
      </c>
      <c r="R22" s="16">
        <f t="shared" ca="1" si="16"/>
        <v>0</v>
      </c>
      <c r="S22" s="17">
        <f t="shared" ca="1" si="17"/>
        <v>0</v>
      </c>
    </row>
    <row r="23" spans="1:19" ht="55.2">
      <c r="A23" s="10">
        <f ca="1">IFERROR(__xludf.DUMMYFUNCTION("""COMPUTED_VALUE"""),22)</f>
        <v>22</v>
      </c>
      <c r="B23" s="10" t="str">
        <f t="shared" ca="1" si="0"/>
        <v>Sesión del Consejo de Planeación Local Chapinero - Articulación Sondeos referente Local de Ruralidad</v>
      </c>
      <c r="C23" s="11">
        <f t="shared" ca="1" si="1"/>
        <v>45335</v>
      </c>
      <c r="D23" s="16">
        <f t="shared" ca="1" si="2"/>
        <v>0</v>
      </c>
      <c r="E23" s="16">
        <f t="shared" ca="1" si="3"/>
        <v>0</v>
      </c>
      <c r="F23" s="16">
        <f t="shared" ca="1" si="4"/>
        <v>0</v>
      </c>
      <c r="G23" s="16">
        <f t="shared" ca="1" si="5"/>
        <v>0</v>
      </c>
      <c r="H23" s="16">
        <f t="shared" ca="1" si="6"/>
        <v>0</v>
      </c>
      <c r="I23" s="16">
        <f t="shared" ca="1" si="7"/>
        <v>0</v>
      </c>
      <c r="J23" s="16">
        <f t="shared" ca="1" si="8"/>
        <v>0</v>
      </c>
      <c r="K23" s="16">
        <f t="shared" ca="1" si="9"/>
        <v>0</v>
      </c>
      <c r="L23" s="16">
        <f t="shared" ca="1" si="10"/>
        <v>0</v>
      </c>
      <c r="M23" s="16">
        <f t="shared" ca="1" si="11"/>
        <v>0</v>
      </c>
      <c r="N23" s="16">
        <f t="shared" ca="1" si="12"/>
        <v>0</v>
      </c>
      <c r="O23" s="16">
        <f t="shared" ca="1" si="13"/>
        <v>0</v>
      </c>
      <c r="P23" s="16">
        <f t="shared" ca="1" si="14"/>
        <v>0</v>
      </c>
      <c r="Q23" s="16">
        <f t="shared" ca="1" si="15"/>
        <v>0</v>
      </c>
      <c r="R23" s="16">
        <f t="shared" ca="1" si="16"/>
        <v>0</v>
      </c>
      <c r="S23" s="17">
        <f t="shared" ca="1" si="17"/>
        <v>0</v>
      </c>
    </row>
    <row r="24" spans="1:19" ht="27.6">
      <c r="A24" s="10">
        <f ca="1">IFERROR(__xludf.DUMMYFUNCTION("""COMPUTED_VALUE"""),23)</f>
        <v>23</v>
      </c>
      <c r="B24" s="10" t="str">
        <f t="shared" ca="1" si="0"/>
        <v xml:space="preserve"> Instalación Comité de Coordinación del PDD</v>
      </c>
      <c r="C24" s="11">
        <f t="shared" ca="1" si="1"/>
        <v>45336</v>
      </c>
      <c r="D24" s="16">
        <f t="shared" ca="1" si="2"/>
        <v>0</v>
      </c>
      <c r="E24" s="16">
        <f t="shared" ca="1" si="3"/>
        <v>0</v>
      </c>
      <c r="F24" s="16">
        <f t="shared" ca="1" si="4"/>
        <v>0</v>
      </c>
      <c r="G24" s="16">
        <f t="shared" ca="1" si="5"/>
        <v>0</v>
      </c>
      <c r="H24" s="16">
        <f t="shared" ca="1" si="6"/>
        <v>0</v>
      </c>
      <c r="I24" s="16">
        <f t="shared" ca="1" si="7"/>
        <v>0</v>
      </c>
      <c r="J24" s="16">
        <f t="shared" ca="1" si="8"/>
        <v>0</v>
      </c>
      <c r="K24" s="16">
        <f t="shared" ca="1" si="9"/>
        <v>0</v>
      </c>
      <c r="L24" s="16">
        <f t="shared" ca="1" si="10"/>
        <v>0</v>
      </c>
      <c r="M24" s="16">
        <f t="shared" ca="1" si="11"/>
        <v>0</v>
      </c>
      <c r="N24" s="16">
        <f t="shared" ca="1" si="12"/>
        <v>0</v>
      </c>
      <c r="O24" s="16">
        <f t="shared" ca="1" si="13"/>
        <v>0</v>
      </c>
      <c r="P24" s="16">
        <f t="shared" ca="1" si="14"/>
        <v>0</v>
      </c>
      <c r="Q24" s="16">
        <f t="shared" ca="1" si="15"/>
        <v>0</v>
      </c>
      <c r="R24" s="16">
        <f t="shared" ca="1" si="16"/>
        <v>0</v>
      </c>
      <c r="S24" s="17">
        <f t="shared" ca="1" si="17"/>
        <v>0</v>
      </c>
    </row>
    <row r="25" spans="1:19" ht="41.4">
      <c r="A25" s="10">
        <f ca="1">IFERROR(__xludf.DUMMYFUNCTION("""COMPUTED_VALUE"""),24)</f>
        <v>24</v>
      </c>
      <c r="B25" s="10" t="str">
        <f t="shared" ca="1" si="0"/>
        <v xml:space="preserve">Socialización Estrategia PDD - Comité Técnico Distrital de Discapacidad </v>
      </c>
      <c r="C25" s="11">
        <f t="shared" ca="1" si="1"/>
        <v>45336</v>
      </c>
      <c r="D25" s="16">
        <f t="shared" ca="1" si="2"/>
        <v>0</v>
      </c>
      <c r="E25" s="16">
        <f t="shared" ca="1" si="3"/>
        <v>0</v>
      </c>
      <c r="F25" s="16">
        <f t="shared" ca="1" si="4"/>
        <v>0</v>
      </c>
      <c r="G25" s="16">
        <f t="shared" ca="1" si="5"/>
        <v>0</v>
      </c>
      <c r="H25" s="16">
        <f t="shared" ca="1" si="6"/>
        <v>0</v>
      </c>
      <c r="I25" s="16">
        <f t="shared" ca="1" si="7"/>
        <v>0</v>
      </c>
      <c r="J25" s="16">
        <f t="shared" ca="1" si="8"/>
        <v>0</v>
      </c>
      <c r="K25" s="16">
        <f t="shared" ca="1" si="9"/>
        <v>0</v>
      </c>
      <c r="L25" s="16">
        <f t="shared" ca="1" si="10"/>
        <v>0</v>
      </c>
      <c r="M25" s="16">
        <f t="shared" ca="1" si="11"/>
        <v>0</v>
      </c>
      <c r="N25" s="16">
        <f t="shared" ca="1" si="12"/>
        <v>0</v>
      </c>
      <c r="O25" s="16">
        <f t="shared" ca="1" si="13"/>
        <v>0</v>
      </c>
      <c r="P25" s="16">
        <f t="shared" ca="1" si="14"/>
        <v>0</v>
      </c>
      <c r="Q25" s="16">
        <f t="shared" ca="1" si="15"/>
        <v>0</v>
      </c>
      <c r="R25" s="16">
        <f t="shared" ca="1" si="16"/>
        <v>0</v>
      </c>
      <c r="S25" s="17">
        <f t="shared" ca="1" si="17"/>
        <v>0</v>
      </c>
    </row>
    <row r="26" spans="1:19" ht="41.4">
      <c r="A26" s="10">
        <f ca="1">IFERROR(__xludf.DUMMYFUNCTION("""COMPUTED_VALUE"""),25)</f>
        <v>25</v>
      </c>
      <c r="B26" s="10" t="str">
        <f t="shared" ca="1" si="0"/>
        <v xml:space="preserve">Grupo Focal de Integración Regional - Taller Subregión Sur - Plan Distrital de Desarrollo </v>
      </c>
      <c r="C26" s="11">
        <f t="shared" ca="1" si="1"/>
        <v>45337</v>
      </c>
      <c r="D26" s="16">
        <f t="shared" ca="1" si="2"/>
        <v>0</v>
      </c>
      <c r="E26" s="16">
        <f t="shared" ca="1" si="3"/>
        <v>0</v>
      </c>
      <c r="F26" s="16">
        <f t="shared" ca="1" si="4"/>
        <v>0</v>
      </c>
      <c r="G26" s="16">
        <f t="shared" ca="1" si="5"/>
        <v>0</v>
      </c>
      <c r="H26" s="16">
        <f t="shared" ca="1" si="6"/>
        <v>0</v>
      </c>
      <c r="I26" s="16">
        <f t="shared" ca="1" si="7"/>
        <v>0</v>
      </c>
      <c r="J26" s="16">
        <f t="shared" ca="1" si="8"/>
        <v>0</v>
      </c>
      <c r="K26" s="16">
        <f t="shared" ca="1" si="9"/>
        <v>0</v>
      </c>
      <c r="L26" s="16">
        <f t="shared" ca="1" si="10"/>
        <v>0</v>
      </c>
      <c r="M26" s="16">
        <f t="shared" ca="1" si="11"/>
        <v>0</v>
      </c>
      <c r="N26" s="16">
        <f t="shared" ca="1" si="12"/>
        <v>0</v>
      </c>
      <c r="O26" s="16">
        <f t="shared" ca="1" si="13"/>
        <v>0</v>
      </c>
      <c r="P26" s="16">
        <f t="shared" ca="1" si="14"/>
        <v>0</v>
      </c>
      <c r="Q26" s="16">
        <f t="shared" ca="1" si="15"/>
        <v>0</v>
      </c>
      <c r="R26" s="16">
        <f t="shared" ca="1" si="16"/>
        <v>0</v>
      </c>
      <c r="S26" s="17">
        <f t="shared" ca="1" si="17"/>
        <v>0</v>
      </c>
    </row>
    <row r="27" spans="1:19" ht="41.4">
      <c r="A27" s="10">
        <f ca="1">IFERROR(__xludf.DUMMYFUNCTION("""COMPUTED_VALUE"""),26)</f>
        <v>26</v>
      </c>
      <c r="B27" s="10" t="str">
        <f t="shared" ca="1" si="0"/>
        <v>Consultorio PDD - Sondeos Sentires Ciudadanos con servidores</v>
      </c>
      <c r="C27" s="11">
        <f t="shared" ca="1" si="1"/>
        <v>45337</v>
      </c>
      <c r="D27" s="16">
        <f t="shared" ca="1" si="2"/>
        <v>0</v>
      </c>
      <c r="E27" s="16">
        <f t="shared" ca="1" si="3"/>
        <v>0</v>
      </c>
      <c r="F27" s="16">
        <f t="shared" ca="1" si="4"/>
        <v>0</v>
      </c>
      <c r="G27" s="16">
        <f t="shared" ca="1" si="5"/>
        <v>0</v>
      </c>
      <c r="H27" s="16">
        <f t="shared" ca="1" si="6"/>
        <v>0</v>
      </c>
      <c r="I27" s="16">
        <f t="shared" ca="1" si="7"/>
        <v>0</v>
      </c>
      <c r="J27" s="16">
        <f t="shared" ca="1" si="8"/>
        <v>0</v>
      </c>
      <c r="K27" s="16">
        <f t="shared" ca="1" si="9"/>
        <v>0</v>
      </c>
      <c r="L27" s="16">
        <f t="shared" ca="1" si="10"/>
        <v>0</v>
      </c>
      <c r="M27" s="16">
        <f t="shared" ca="1" si="11"/>
        <v>0</v>
      </c>
      <c r="N27" s="16">
        <f t="shared" ca="1" si="12"/>
        <v>0</v>
      </c>
      <c r="O27" s="16">
        <f t="shared" ca="1" si="13"/>
        <v>0</v>
      </c>
      <c r="P27" s="16">
        <f t="shared" ca="1" si="14"/>
        <v>0</v>
      </c>
      <c r="Q27" s="16">
        <f t="shared" ca="1" si="15"/>
        <v>0</v>
      </c>
      <c r="R27" s="16">
        <f t="shared" ca="1" si="16"/>
        <v>0</v>
      </c>
      <c r="S27" s="17">
        <f t="shared" ca="1" si="17"/>
        <v>0</v>
      </c>
    </row>
    <row r="28" spans="1:19" ht="55.2">
      <c r="A28" s="10">
        <f ca="1">IFERROR(__xludf.DUMMYFUNCTION("""COMPUTED_VALUE"""),27)</f>
        <v>27</v>
      </c>
      <c r="B28" s="10" t="str">
        <f t="shared" ca="1" si="0"/>
        <v xml:space="preserve">Grupo Focal de Integración Regional - Taller Subregión Occidente - Plan Distrital de Desarrollo </v>
      </c>
      <c r="C28" s="11">
        <f t="shared" ca="1" si="1"/>
        <v>45337</v>
      </c>
      <c r="D28" s="16">
        <f t="shared" ca="1" si="2"/>
        <v>0</v>
      </c>
      <c r="E28" s="16">
        <f t="shared" ca="1" si="3"/>
        <v>0</v>
      </c>
      <c r="F28" s="16">
        <f t="shared" ca="1" si="4"/>
        <v>0</v>
      </c>
      <c r="G28" s="16">
        <f t="shared" ca="1" si="5"/>
        <v>0</v>
      </c>
      <c r="H28" s="16">
        <f t="shared" ca="1" si="6"/>
        <v>0</v>
      </c>
      <c r="I28" s="16">
        <f t="shared" ca="1" si="7"/>
        <v>0</v>
      </c>
      <c r="J28" s="16">
        <f t="shared" ca="1" si="8"/>
        <v>0</v>
      </c>
      <c r="K28" s="16">
        <f t="shared" ca="1" si="9"/>
        <v>0</v>
      </c>
      <c r="L28" s="16">
        <f t="shared" ca="1" si="10"/>
        <v>0</v>
      </c>
      <c r="M28" s="16">
        <f t="shared" ca="1" si="11"/>
        <v>0</v>
      </c>
      <c r="N28" s="16">
        <f t="shared" ca="1" si="12"/>
        <v>0</v>
      </c>
      <c r="O28" s="16">
        <f t="shared" ca="1" si="13"/>
        <v>0</v>
      </c>
      <c r="P28" s="16">
        <f t="shared" ca="1" si="14"/>
        <v>0</v>
      </c>
      <c r="Q28" s="16">
        <f t="shared" ca="1" si="15"/>
        <v>0</v>
      </c>
      <c r="R28" s="16">
        <f t="shared" ca="1" si="16"/>
        <v>0</v>
      </c>
      <c r="S28" s="17">
        <f t="shared" ca="1" si="17"/>
        <v>0</v>
      </c>
    </row>
    <row r="29" spans="1:19" ht="41.4">
      <c r="A29" s="10">
        <f ca="1">IFERROR(__xludf.DUMMYFUNCTION("""COMPUTED_VALUE"""),28)</f>
        <v>28</v>
      </c>
      <c r="B29" s="10" t="str">
        <f t="shared" ca="1" si="0"/>
        <v xml:space="preserve">Grupo Focal de Integración Regional - Taller Subregión Norte - Plan Distrital de Desarrollo </v>
      </c>
      <c r="C29" s="11">
        <f t="shared" ca="1" si="1"/>
        <v>45338</v>
      </c>
      <c r="D29" s="16">
        <f t="shared" ca="1" si="2"/>
        <v>0</v>
      </c>
      <c r="E29" s="16">
        <f t="shared" ca="1" si="3"/>
        <v>0</v>
      </c>
      <c r="F29" s="16">
        <f t="shared" ca="1" si="4"/>
        <v>0</v>
      </c>
      <c r="G29" s="16">
        <f t="shared" ca="1" si="5"/>
        <v>0</v>
      </c>
      <c r="H29" s="16">
        <f t="shared" ca="1" si="6"/>
        <v>0</v>
      </c>
      <c r="I29" s="16">
        <f t="shared" ca="1" si="7"/>
        <v>0</v>
      </c>
      <c r="J29" s="16">
        <f t="shared" ca="1" si="8"/>
        <v>0</v>
      </c>
      <c r="K29" s="16">
        <f t="shared" ca="1" si="9"/>
        <v>0</v>
      </c>
      <c r="L29" s="16">
        <f t="shared" ca="1" si="10"/>
        <v>0</v>
      </c>
      <c r="M29" s="16">
        <f t="shared" ca="1" si="11"/>
        <v>0</v>
      </c>
      <c r="N29" s="16">
        <f t="shared" ca="1" si="12"/>
        <v>0</v>
      </c>
      <c r="O29" s="16">
        <f t="shared" ca="1" si="13"/>
        <v>0</v>
      </c>
      <c r="P29" s="16">
        <f t="shared" ca="1" si="14"/>
        <v>0</v>
      </c>
      <c r="Q29" s="16">
        <f t="shared" ca="1" si="15"/>
        <v>0</v>
      </c>
      <c r="R29" s="16">
        <f t="shared" ca="1" si="16"/>
        <v>0</v>
      </c>
      <c r="S29" s="17">
        <f t="shared" ca="1" si="17"/>
        <v>0</v>
      </c>
    </row>
    <row r="30" spans="1:19" ht="27.6">
      <c r="A30" s="10">
        <f ca="1">IFERROR(__xludf.DUMMYFUNCTION("""COMPUTED_VALUE"""),29)</f>
        <v>29</v>
      </c>
      <c r="B30" s="10" t="str">
        <f t="shared" ca="1" si="0"/>
        <v>Socialización Estrategia PDD - Sesión JAL Engativá</v>
      </c>
      <c r="C30" s="11">
        <f t="shared" ca="1" si="1"/>
        <v>45338</v>
      </c>
      <c r="D30" s="16">
        <f t="shared" ca="1" si="2"/>
        <v>0</v>
      </c>
      <c r="E30" s="16">
        <f t="shared" ca="1" si="3"/>
        <v>0</v>
      </c>
      <c r="F30" s="16">
        <f t="shared" ca="1" si="4"/>
        <v>0</v>
      </c>
      <c r="G30" s="16">
        <f t="shared" ca="1" si="5"/>
        <v>0</v>
      </c>
      <c r="H30" s="16">
        <f t="shared" ca="1" si="6"/>
        <v>0</v>
      </c>
      <c r="I30" s="16">
        <f t="shared" ca="1" si="7"/>
        <v>0</v>
      </c>
      <c r="J30" s="16">
        <f t="shared" ca="1" si="8"/>
        <v>0</v>
      </c>
      <c r="K30" s="16">
        <f t="shared" ca="1" si="9"/>
        <v>0</v>
      </c>
      <c r="L30" s="16">
        <f t="shared" ca="1" si="10"/>
        <v>0</v>
      </c>
      <c r="M30" s="16">
        <f t="shared" ca="1" si="11"/>
        <v>0</v>
      </c>
      <c r="N30" s="16">
        <f t="shared" ca="1" si="12"/>
        <v>0</v>
      </c>
      <c r="O30" s="16">
        <f t="shared" ca="1" si="13"/>
        <v>0</v>
      </c>
      <c r="P30" s="16">
        <f t="shared" ca="1" si="14"/>
        <v>0</v>
      </c>
      <c r="Q30" s="16">
        <f t="shared" ca="1" si="15"/>
        <v>0</v>
      </c>
      <c r="R30" s="16">
        <f t="shared" ca="1" si="16"/>
        <v>0</v>
      </c>
      <c r="S30" s="17">
        <f t="shared" ca="1" si="17"/>
        <v>0</v>
      </c>
    </row>
    <row r="31" spans="1:19" ht="13.8">
      <c r="A31" s="10"/>
      <c r="B31" s="10" t="str">
        <f t="shared" si="0"/>
        <v/>
      </c>
      <c r="C31" s="11" t="str">
        <f t="shared" si="1"/>
        <v/>
      </c>
      <c r="D31" s="16" t="str">
        <f t="shared" si="2"/>
        <v/>
      </c>
      <c r="E31" s="16" t="str">
        <f t="shared" si="3"/>
        <v/>
      </c>
      <c r="F31" s="16" t="str">
        <f t="shared" si="4"/>
        <v/>
      </c>
      <c r="G31" s="16" t="str">
        <f t="shared" si="5"/>
        <v/>
      </c>
      <c r="H31" s="16" t="str">
        <f t="shared" si="6"/>
        <v/>
      </c>
      <c r="I31" s="16" t="str">
        <f t="shared" si="7"/>
        <v/>
      </c>
      <c r="J31" s="16" t="str">
        <f t="shared" si="8"/>
        <v/>
      </c>
      <c r="K31" s="16" t="str">
        <f t="shared" si="9"/>
        <v/>
      </c>
      <c r="L31" s="16" t="str">
        <f t="shared" si="10"/>
        <v/>
      </c>
      <c r="M31" s="16" t="str">
        <f t="shared" si="11"/>
        <v/>
      </c>
      <c r="N31" s="16" t="str">
        <f t="shared" si="12"/>
        <v/>
      </c>
      <c r="O31" s="16" t="str">
        <f t="shared" si="13"/>
        <v/>
      </c>
      <c r="P31" s="16" t="str">
        <f t="shared" si="14"/>
        <v/>
      </c>
      <c r="Q31" s="16" t="str">
        <f t="shared" si="15"/>
        <v/>
      </c>
      <c r="R31" s="16" t="str">
        <f t="shared" si="16"/>
        <v/>
      </c>
      <c r="S31" s="17" t="str">
        <f t="shared" si="17"/>
        <v/>
      </c>
    </row>
    <row r="32" spans="1:19" ht="13.8">
      <c r="A32" s="10"/>
      <c r="B32" s="10" t="str">
        <f t="shared" si="0"/>
        <v/>
      </c>
      <c r="C32" s="11" t="str">
        <f t="shared" si="1"/>
        <v/>
      </c>
      <c r="D32" s="16" t="str">
        <f t="shared" si="2"/>
        <v/>
      </c>
      <c r="E32" s="16" t="str">
        <f t="shared" si="3"/>
        <v/>
      </c>
      <c r="F32" s="16" t="str">
        <f t="shared" si="4"/>
        <v/>
      </c>
      <c r="G32" s="16" t="str">
        <f t="shared" si="5"/>
        <v/>
      </c>
      <c r="H32" s="16" t="str">
        <f t="shared" si="6"/>
        <v/>
      </c>
      <c r="I32" s="16" t="str">
        <f t="shared" si="7"/>
        <v/>
      </c>
      <c r="J32" s="16" t="str">
        <f t="shared" si="8"/>
        <v/>
      </c>
      <c r="K32" s="16" t="str">
        <f t="shared" si="9"/>
        <v/>
      </c>
      <c r="L32" s="16" t="str">
        <f t="shared" si="10"/>
        <v/>
      </c>
      <c r="M32" s="16" t="str">
        <f t="shared" si="11"/>
        <v/>
      </c>
      <c r="N32" s="16" t="str">
        <f t="shared" si="12"/>
        <v/>
      </c>
      <c r="O32" s="16" t="str">
        <f t="shared" si="13"/>
        <v/>
      </c>
      <c r="P32" s="16" t="str">
        <f t="shared" si="14"/>
        <v/>
      </c>
      <c r="Q32" s="16" t="str">
        <f t="shared" si="15"/>
        <v/>
      </c>
      <c r="R32" s="16" t="str">
        <f t="shared" si="16"/>
        <v/>
      </c>
      <c r="S32" s="17" t="str">
        <f t="shared" si="17"/>
        <v/>
      </c>
    </row>
    <row r="33" spans="1:19" ht="27.6">
      <c r="A33" s="10">
        <f ca="1">IFERROR(__xludf.DUMMYFUNCTION("""COMPUTED_VALUE"""),32)</f>
        <v>32</v>
      </c>
      <c r="B33" s="10" t="str">
        <f t="shared" ca="1" si="0"/>
        <v>Comité Coordinador Intersectorial de Participación PDD</v>
      </c>
      <c r="C33" s="11">
        <f t="shared" ca="1" si="1"/>
        <v>45343</v>
      </c>
      <c r="D33" s="16">
        <f t="shared" ca="1" si="2"/>
        <v>0</v>
      </c>
      <c r="E33" s="16">
        <f t="shared" ca="1" si="3"/>
        <v>0</v>
      </c>
      <c r="F33" s="16">
        <f t="shared" ca="1" si="4"/>
        <v>0</v>
      </c>
      <c r="G33" s="16">
        <f t="shared" ca="1" si="5"/>
        <v>0</v>
      </c>
      <c r="H33" s="16">
        <f t="shared" ca="1" si="6"/>
        <v>0</v>
      </c>
      <c r="I33" s="16">
        <f t="shared" ca="1" si="7"/>
        <v>0</v>
      </c>
      <c r="J33" s="16">
        <f t="shared" ca="1" si="8"/>
        <v>0</v>
      </c>
      <c r="K33" s="16">
        <f t="shared" ca="1" si="9"/>
        <v>0</v>
      </c>
      <c r="L33" s="16">
        <f t="shared" ca="1" si="10"/>
        <v>0</v>
      </c>
      <c r="M33" s="16">
        <f t="shared" ca="1" si="11"/>
        <v>0</v>
      </c>
      <c r="N33" s="16">
        <f t="shared" ca="1" si="12"/>
        <v>0</v>
      </c>
      <c r="O33" s="16">
        <f t="shared" ca="1" si="13"/>
        <v>0</v>
      </c>
      <c r="P33" s="16">
        <f t="shared" ca="1" si="14"/>
        <v>0</v>
      </c>
      <c r="Q33" s="16">
        <f t="shared" ca="1" si="15"/>
        <v>0</v>
      </c>
      <c r="R33" s="16">
        <f t="shared" ca="1" si="16"/>
        <v>0</v>
      </c>
      <c r="S33" s="17">
        <f t="shared" ca="1" si="17"/>
        <v>0</v>
      </c>
    </row>
    <row r="34" spans="1:19" ht="27.6">
      <c r="A34" s="10">
        <f ca="1">IFERROR(__xludf.DUMMYFUNCTION("""COMPUTED_VALUE"""),33)</f>
        <v>33</v>
      </c>
      <c r="B34" s="10" t="str">
        <f t="shared" ref="B34:B65" ca="1" si="18">IFERROR(VLOOKUP(A34,DATA_MATRIZ,2,FALSE),"")</f>
        <v>Reunión Federación de Juntas - PDD</v>
      </c>
      <c r="C34" s="11">
        <f t="shared" ref="C34:C65" ca="1" si="19">IFERROR(VLOOKUP(A34,DATA_MATRIZ,3,FALSE),"")</f>
        <v>45343</v>
      </c>
      <c r="D34" s="16">
        <f t="shared" ref="D34:D65" ca="1" si="20">IFERROR(VLOOKUP(A34,DATA_MATRIZ,89,FALSE),"")</f>
        <v>0</v>
      </c>
      <c r="E34" s="16">
        <f t="shared" ref="E34:E65" ca="1" si="21">IFERROR(VLOOKUP(A34,DATA_MATRIZ,90,FALSE),"")</f>
        <v>0</v>
      </c>
      <c r="F34" s="16">
        <f t="shared" ref="F34:F65" ca="1" si="22">IFERROR(VLOOKUP(A34,DATA_MATRIZ,96,FALSE),"")</f>
        <v>0</v>
      </c>
      <c r="G34" s="16">
        <f t="shared" ref="G34:G65" ca="1" si="23">IFERROR(VLOOKUP(A34,DATA_MATRIZ,91,FALSE),"")</f>
        <v>0</v>
      </c>
      <c r="H34" s="16">
        <f t="shared" ref="H34:H65" ca="1" si="24">IFERROR(VLOOKUP(A34,DATA_MATRIZ,97,FALSE),"")</f>
        <v>0</v>
      </c>
      <c r="I34" s="16">
        <f t="shared" ref="I34:I65" ca="1" si="25">IFERROR(VLOOKUP(A34,DATA_MATRIZ,92,FALSE),"")</f>
        <v>0</v>
      </c>
      <c r="J34" s="16">
        <f t="shared" ref="J34:J65" ca="1" si="26">IFERROR(VLOOKUP(A34,DATA_MATRIZ,98,FALSE),"")</f>
        <v>0</v>
      </c>
      <c r="K34" s="16">
        <f t="shared" ref="K34:K65" ca="1" si="27">IFERROR(VLOOKUP(A34,DATA_MATRIZ,93,FALSE),"")</f>
        <v>0</v>
      </c>
      <c r="L34" s="16">
        <f t="shared" ref="L34:L65" ca="1" si="28">IFERROR(VLOOKUP(A34,DATA_MATRIZ,99,FALSE),"")</f>
        <v>0</v>
      </c>
      <c r="M34" s="16">
        <f t="shared" ref="M34:M65" ca="1" si="29">IFERROR(VLOOKUP(A34,DATA_MATRIZ,94,FALSE),"")</f>
        <v>0</v>
      </c>
      <c r="N34" s="16">
        <f t="shared" ref="N34:N65" ca="1" si="30">IFERROR(VLOOKUP(A34,DATA_MATRIZ,100,FALSE),"")</f>
        <v>0</v>
      </c>
      <c r="O34" s="16">
        <f t="shared" ref="O34:O65" ca="1" si="31">IFERROR(VLOOKUP(A34,DATA_MATRIZ,95,FALSE),"")</f>
        <v>0</v>
      </c>
      <c r="P34" s="16">
        <f t="shared" ref="P34:P65" ca="1" si="32">IFERROR(VLOOKUP(A34,DATA_MATRIZ,101,FALSE),"")</f>
        <v>0</v>
      </c>
      <c r="Q34" s="16">
        <f t="shared" ref="Q34:Q65" ca="1" si="33">IFERROR(VLOOKUP(A34,DATA_MATRIZ,103,FALSE),"")</f>
        <v>0</v>
      </c>
      <c r="R34" s="16">
        <f t="shared" ref="R34:R65" ca="1" si="34">IFERROR(VLOOKUP(A34,DATA_MATRIZ,105,FALSE),"")</f>
        <v>0</v>
      </c>
      <c r="S34" s="17">
        <f t="shared" ref="S34:S65" ca="1" si="35">IFERROR(VLOOKUP(A34,DATA_MATRIZ,106,FALSE),"")</f>
        <v>0</v>
      </c>
    </row>
    <row r="35" spans="1:19" ht="55.2">
      <c r="A35" s="10">
        <f ca="1">IFERROR(__xludf.DUMMYFUNCTION("""COMPUTED_VALUE"""),34)</f>
        <v>34</v>
      </c>
      <c r="B35" s="10" t="str">
        <f t="shared" ca="1" si="18"/>
        <v>Caminandole al Plan Distrital de Desarrollo: Preparación formativa de los consejeros y consejeras del CTPD - Módulo 1 - Jornada 1</v>
      </c>
      <c r="C35" s="11">
        <f t="shared" ca="1" si="19"/>
        <v>45344</v>
      </c>
      <c r="D35" s="16">
        <f t="shared" ca="1" si="20"/>
        <v>0</v>
      </c>
      <c r="E35" s="16">
        <f t="shared" ca="1" si="21"/>
        <v>0</v>
      </c>
      <c r="F35" s="16">
        <f t="shared" ca="1" si="22"/>
        <v>0</v>
      </c>
      <c r="G35" s="16">
        <f t="shared" ca="1" si="23"/>
        <v>0</v>
      </c>
      <c r="H35" s="16">
        <f t="shared" ca="1" si="24"/>
        <v>0</v>
      </c>
      <c r="I35" s="16">
        <f t="shared" ca="1" si="25"/>
        <v>0</v>
      </c>
      <c r="J35" s="16">
        <f t="shared" ca="1" si="26"/>
        <v>0</v>
      </c>
      <c r="K35" s="16">
        <f t="shared" ca="1" si="27"/>
        <v>0</v>
      </c>
      <c r="L35" s="16">
        <f t="shared" ca="1" si="28"/>
        <v>0</v>
      </c>
      <c r="M35" s="16">
        <f t="shared" ca="1" si="29"/>
        <v>0</v>
      </c>
      <c r="N35" s="16">
        <f t="shared" ca="1" si="30"/>
        <v>0</v>
      </c>
      <c r="O35" s="16">
        <f t="shared" ca="1" si="31"/>
        <v>0</v>
      </c>
      <c r="P35" s="16">
        <f t="shared" ca="1" si="32"/>
        <v>0</v>
      </c>
      <c r="Q35" s="16">
        <f t="shared" ca="1" si="33"/>
        <v>0</v>
      </c>
      <c r="R35" s="16">
        <f t="shared" ca="1" si="34"/>
        <v>0</v>
      </c>
      <c r="S35" s="17">
        <f t="shared" ca="1" si="35"/>
        <v>0</v>
      </c>
    </row>
    <row r="36" spans="1:19" ht="55.2">
      <c r="A36" s="10">
        <f ca="1">IFERROR(__xludf.DUMMYFUNCTION("""COMPUTED_VALUE"""),35)</f>
        <v>35</v>
      </c>
      <c r="B36" s="10" t="str">
        <f t="shared" ca="1" si="18"/>
        <v>Caminandole al Plan Distrital de Desarrollo: Preparación formativa de los consejeros y consejeras del CTPD - Módulo 1 - Jornada 2</v>
      </c>
      <c r="C36" s="11">
        <f t="shared" ca="1" si="19"/>
        <v>45344</v>
      </c>
      <c r="D36" s="16">
        <f t="shared" ca="1" si="20"/>
        <v>0</v>
      </c>
      <c r="E36" s="16">
        <f t="shared" ca="1" si="21"/>
        <v>0</v>
      </c>
      <c r="F36" s="16">
        <f t="shared" ca="1" si="22"/>
        <v>0</v>
      </c>
      <c r="G36" s="16">
        <f t="shared" ca="1" si="23"/>
        <v>0</v>
      </c>
      <c r="H36" s="16">
        <f t="shared" ca="1" si="24"/>
        <v>0</v>
      </c>
      <c r="I36" s="16">
        <f t="shared" ca="1" si="25"/>
        <v>0</v>
      </c>
      <c r="J36" s="16">
        <f t="shared" ca="1" si="26"/>
        <v>0</v>
      </c>
      <c r="K36" s="16">
        <f t="shared" ca="1" si="27"/>
        <v>0</v>
      </c>
      <c r="L36" s="16">
        <f t="shared" ca="1" si="28"/>
        <v>0</v>
      </c>
      <c r="M36" s="16">
        <f t="shared" ca="1" si="29"/>
        <v>0</v>
      </c>
      <c r="N36" s="16">
        <f t="shared" ca="1" si="30"/>
        <v>0</v>
      </c>
      <c r="O36" s="16">
        <f t="shared" ca="1" si="31"/>
        <v>0</v>
      </c>
      <c r="P36" s="16">
        <f t="shared" ca="1" si="32"/>
        <v>0</v>
      </c>
      <c r="Q36" s="16">
        <f t="shared" ca="1" si="33"/>
        <v>0</v>
      </c>
      <c r="R36" s="16">
        <f t="shared" ca="1" si="34"/>
        <v>0</v>
      </c>
      <c r="S36" s="17">
        <f t="shared" ca="1" si="35"/>
        <v>0</v>
      </c>
    </row>
    <row r="37" spans="1:19" ht="55.2">
      <c r="A37" s="10">
        <f ca="1">IFERROR(__xludf.DUMMYFUNCTION("""COMPUTED_VALUE"""),36)</f>
        <v>36</v>
      </c>
      <c r="B37" s="10" t="str">
        <f t="shared" ca="1" si="18"/>
        <v>Audiencia - Ejercicios de Planeación Participativa del Sistema General de Regalías  2024-2027</v>
      </c>
      <c r="C37" s="11">
        <f t="shared" ca="1" si="19"/>
        <v>45345</v>
      </c>
      <c r="D37" s="16">
        <f t="shared" ca="1" si="20"/>
        <v>0</v>
      </c>
      <c r="E37" s="16">
        <f t="shared" ca="1" si="21"/>
        <v>0</v>
      </c>
      <c r="F37" s="16">
        <f t="shared" ca="1" si="22"/>
        <v>0</v>
      </c>
      <c r="G37" s="16">
        <f t="shared" ca="1" si="23"/>
        <v>0</v>
      </c>
      <c r="H37" s="16">
        <f t="shared" ca="1" si="24"/>
        <v>0</v>
      </c>
      <c r="I37" s="16">
        <f t="shared" ca="1" si="25"/>
        <v>0</v>
      </c>
      <c r="J37" s="16">
        <f t="shared" ca="1" si="26"/>
        <v>0</v>
      </c>
      <c r="K37" s="16">
        <f t="shared" ca="1" si="27"/>
        <v>0</v>
      </c>
      <c r="L37" s="16">
        <f t="shared" ca="1" si="28"/>
        <v>0</v>
      </c>
      <c r="M37" s="16">
        <f t="shared" ca="1" si="29"/>
        <v>0</v>
      </c>
      <c r="N37" s="16">
        <f t="shared" ca="1" si="30"/>
        <v>0</v>
      </c>
      <c r="O37" s="16">
        <f t="shared" ca="1" si="31"/>
        <v>0</v>
      </c>
      <c r="P37" s="16">
        <f t="shared" ca="1" si="32"/>
        <v>0</v>
      </c>
      <c r="Q37" s="16">
        <f t="shared" ca="1" si="33"/>
        <v>0</v>
      </c>
      <c r="R37" s="16">
        <f t="shared" ca="1" si="34"/>
        <v>0</v>
      </c>
      <c r="S37" s="17">
        <f t="shared" ca="1" si="35"/>
        <v>0</v>
      </c>
    </row>
    <row r="38" spans="1:19" ht="13.8">
      <c r="A38" s="10"/>
      <c r="B38" s="10" t="str">
        <f t="shared" si="18"/>
        <v/>
      </c>
      <c r="C38" s="11" t="str">
        <f t="shared" si="19"/>
        <v/>
      </c>
      <c r="D38" s="16" t="str">
        <f t="shared" si="20"/>
        <v/>
      </c>
      <c r="E38" s="16" t="str">
        <f t="shared" si="21"/>
        <v/>
      </c>
      <c r="F38" s="16" t="str">
        <f t="shared" si="22"/>
        <v/>
      </c>
      <c r="G38" s="16" t="str">
        <f t="shared" si="23"/>
        <v/>
      </c>
      <c r="H38" s="16" t="str">
        <f t="shared" si="24"/>
        <v/>
      </c>
      <c r="I38" s="16" t="str">
        <f t="shared" si="25"/>
        <v/>
      </c>
      <c r="J38" s="16" t="str">
        <f t="shared" si="26"/>
        <v/>
      </c>
      <c r="K38" s="16" t="str">
        <f t="shared" si="27"/>
        <v/>
      </c>
      <c r="L38" s="16" t="str">
        <f t="shared" si="28"/>
        <v/>
      </c>
      <c r="M38" s="16" t="str">
        <f t="shared" si="29"/>
        <v/>
      </c>
      <c r="N38" s="16" t="str">
        <f t="shared" si="30"/>
        <v/>
      </c>
      <c r="O38" s="16" t="str">
        <f t="shared" si="31"/>
        <v/>
      </c>
      <c r="P38" s="16" t="str">
        <f t="shared" si="32"/>
        <v/>
      </c>
      <c r="Q38" s="16" t="str">
        <f t="shared" si="33"/>
        <v/>
      </c>
      <c r="R38" s="16" t="str">
        <f t="shared" si="34"/>
        <v/>
      </c>
      <c r="S38" s="17" t="str">
        <f t="shared" si="35"/>
        <v/>
      </c>
    </row>
    <row r="39" spans="1:19" ht="55.2">
      <c r="A39" s="10">
        <f ca="1">IFERROR(__xludf.DUMMYFUNCTION("""COMPUTED_VALUE"""),38)</f>
        <v>38</v>
      </c>
      <c r="B39" s="10" t="str">
        <f t="shared" ca="1" si="18"/>
        <v>Mesa de trabajo Preparatoria en Concejo - Foro "Jóvenes Construyendo una Ciudad Sostenible"</v>
      </c>
      <c r="C39" s="11">
        <f t="shared" ca="1" si="19"/>
        <v>45345</v>
      </c>
      <c r="D39" s="16">
        <f t="shared" ca="1" si="20"/>
        <v>0</v>
      </c>
      <c r="E39" s="16">
        <f t="shared" ca="1" si="21"/>
        <v>0</v>
      </c>
      <c r="F39" s="16">
        <f t="shared" ca="1" si="22"/>
        <v>0</v>
      </c>
      <c r="G39" s="16">
        <f t="shared" ca="1" si="23"/>
        <v>0</v>
      </c>
      <c r="H39" s="16">
        <f t="shared" ca="1" si="24"/>
        <v>0</v>
      </c>
      <c r="I39" s="16">
        <f t="shared" ca="1" si="25"/>
        <v>0</v>
      </c>
      <c r="J39" s="16">
        <f t="shared" ca="1" si="26"/>
        <v>0</v>
      </c>
      <c r="K39" s="16">
        <f t="shared" ca="1" si="27"/>
        <v>0</v>
      </c>
      <c r="L39" s="16">
        <f t="shared" ca="1" si="28"/>
        <v>0</v>
      </c>
      <c r="M39" s="16">
        <f t="shared" ca="1" si="29"/>
        <v>0</v>
      </c>
      <c r="N39" s="16">
        <f t="shared" ca="1" si="30"/>
        <v>0</v>
      </c>
      <c r="O39" s="16">
        <f t="shared" ca="1" si="31"/>
        <v>0</v>
      </c>
      <c r="P39" s="16">
        <f t="shared" ca="1" si="32"/>
        <v>0</v>
      </c>
      <c r="Q39" s="16">
        <f t="shared" ca="1" si="33"/>
        <v>0</v>
      </c>
      <c r="R39" s="16">
        <f t="shared" ca="1" si="34"/>
        <v>0</v>
      </c>
      <c r="S39" s="17">
        <f t="shared" ca="1" si="35"/>
        <v>0</v>
      </c>
    </row>
    <row r="40" spans="1:19" ht="13.8">
      <c r="A40" s="10"/>
      <c r="B40" s="10" t="str">
        <f t="shared" si="18"/>
        <v/>
      </c>
      <c r="C40" s="11" t="str">
        <f t="shared" si="19"/>
        <v/>
      </c>
      <c r="D40" s="16" t="str">
        <f t="shared" si="20"/>
        <v/>
      </c>
      <c r="E40" s="16" t="str">
        <f t="shared" si="21"/>
        <v/>
      </c>
      <c r="F40" s="16" t="str">
        <f t="shared" si="22"/>
        <v/>
      </c>
      <c r="G40" s="16" t="str">
        <f t="shared" si="23"/>
        <v/>
      </c>
      <c r="H40" s="16" t="str">
        <f t="shared" si="24"/>
        <v/>
      </c>
      <c r="I40" s="16" t="str">
        <f t="shared" si="25"/>
        <v/>
      </c>
      <c r="J40" s="16" t="str">
        <f t="shared" si="26"/>
        <v/>
      </c>
      <c r="K40" s="16" t="str">
        <f t="shared" si="27"/>
        <v/>
      </c>
      <c r="L40" s="16" t="str">
        <f t="shared" si="28"/>
        <v/>
      </c>
      <c r="M40" s="16" t="str">
        <f t="shared" si="29"/>
        <v/>
      </c>
      <c r="N40" s="16" t="str">
        <f t="shared" si="30"/>
        <v/>
      </c>
      <c r="O40" s="16" t="str">
        <f t="shared" si="31"/>
        <v/>
      </c>
      <c r="P40" s="16" t="str">
        <f t="shared" si="32"/>
        <v/>
      </c>
      <c r="Q40" s="16" t="str">
        <f t="shared" si="33"/>
        <v/>
      </c>
      <c r="R40" s="16" t="str">
        <f t="shared" si="34"/>
        <v/>
      </c>
      <c r="S40" s="17" t="str">
        <f t="shared" si="35"/>
        <v/>
      </c>
    </row>
    <row r="41" spans="1:19" ht="55.2">
      <c r="A41" s="10">
        <f ca="1">IFERROR(__xludf.DUMMYFUNCTION("""COMPUTED_VALUE"""),40)</f>
        <v>40</v>
      </c>
      <c r="B41" s="10" t="str">
        <f t="shared" ca="1" si="18"/>
        <v>Caminandole al Plan Distrital de Desarrollo: Preparación formativa de los consejeros y consejeras del CTPD - Módulo 2 - Jornada 1</v>
      </c>
      <c r="C41" s="11">
        <f t="shared" ca="1" si="19"/>
        <v>45348</v>
      </c>
      <c r="D41" s="16">
        <f t="shared" ca="1" si="20"/>
        <v>0</v>
      </c>
      <c r="E41" s="16">
        <f t="shared" ca="1" si="21"/>
        <v>0</v>
      </c>
      <c r="F41" s="16">
        <f t="shared" ca="1" si="22"/>
        <v>0</v>
      </c>
      <c r="G41" s="16">
        <f t="shared" ca="1" si="23"/>
        <v>0</v>
      </c>
      <c r="H41" s="16">
        <f t="shared" ca="1" si="24"/>
        <v>0</v>
      </c>
      <c r="I41" s="16">
        <f t="shared" ca="1" si="25"/>
        <v>0</v>
      </c>
      <c r="J41" s="16">
        <f t="shared" ca="1" si="26"/>
        <v>0</v>
      </c>
      <c r="K41" s="16">
        <f t="shared" ca="1" si="27"/>
        <v>0</v>
      </c>
      <c r="L41" s="16">
        <f t="shared" ca="1" si="28"/>
        <v>0</v>
      </c>
      <c r="M41" s="16">
        <f t="shared" ca="1" si="29"/>
        <v>0</v>
      </c>
      <c r="N41" s="16">
        <f t="shared" ca="1" si="30"/>
        <v>0</v>
      </c>
      <c r="O41" s="16">
        <f t="shared" ca="1" si="31"/>
        <v>0</v>
      </c>
      <c r="P41" s="16">
        <f t="shared" ca="1" si="32"/>
        <v>0</v>
      </c>
      <c r="Q41" s="16">
        <f t="shared" ca="1" si="33"/>
        <v>0</v>
      </c>
      <c r="R41" s="16">
        <f t="shared" ca="1" si="34"/>
        <v>0</v>
      </c>
      <c r="S41" s="17">
        <f t="shared" ca="1" si="35"/>
        <v>0</v>
      </c>
    </row>
    <row r="42" spans="1:19" ht="13.8">
      <c r="A42" s="10"/>
      <c r="B42" s="10" t="str">
        <f t="shared" si="18"/>
        <v/>
      </c>
      <c r="C42" s="11" t="str">
        <f t="shared" si="19"/>
        <v/>
      </c>
      <c r="D42" s="16" t="str">
        <f t="shared" si="20"/>
        <v/>
      </c>
      <c r="E42" s="16" t="str">
        <f t="shared" si="21"/>
        <v/>
      </c>
      <c r="F42" s="16" t="str">
        <f t="shared" si="22"/>
        <v/>
      </c>
      <c r="G42" s="16" t="str">
        <f t="shared" si="23"/>
        <v/>
      </c>
      <c r="H42" s="16" t="str">
        <f t="shared" si="24"/>
        <v/>
      </c>
      <c r="I42" s="16" t="str">
        <f t="shared" si="25"/>
        <v/>
      </c>
      <c r="J42" s="16" t="str">
        <f t="shared" si="26"/>
        <v/>
      </c>
      <c r="K42" s="16" t="str">
        <f t="shared" si="27"/>
        <v/>
      </c>
      <c r="L42" s="16" t="str">
        <f t="shared" si="28"/>
        <v/>
      </c>
      <c r="M42" s="16" t="str">
        <f t="shared" si="29"/>
        <v/>
      </c>
      <c r="N42" s="16" t="str">
        <f t="shared" si="30"/>
        <v/>
      </c>
      <c r="O42" s="16" t="str">
        <f t="shared" si="31"/>
        <v/>
      </c>
      <c r="P42" s="16" t="str">
        <f t="shared" si="32"/>
        <v/>
      </c>
      <c r="Q42" s="16" t="str">
        <f t="shared" si="33"/>
        <v/>
      </c>
      <c r="R42" s="16" t="str">
        <f t="shared" si="34"/>
        <v/>
      </c>
      <c r="S42" s="17" t="str">
        <f t="shared" si="35"/>
        <v/>
      </c>
    </row>
    <row r="43" spans="1:19" ht="55.2">
      <c r="A43" s="10">
        <f ca="1">IFERROR(__xludf.DUMMYFUNCTION("""COMPUTED_VALUE"""),42)</f>
        <v>42</v>
      </c>
      <c r="B43" s="10" t="str">
        <f t="shared" ca="1" si="18"/>
        <v>Caminandole al Plan Distrital de Desarrollo: Preparación formativa de los consejeros y consejeras del CTPD - Módulo 2 - Jornada 2</v>
      </c>
      <c r="C43" s="11">
        <f t="shared" ca="1" si="19"/>
        <v>45348</v>
      </c>
      <c r="D43" s="16">
        <f t="shared" ca="1" si="20"/>
        <v>0</v>
      </c>
      <c r="E43" s="16">
        <f t="shared" ca="1" si="21"/>
        <v>0</v>
      </c>
      <c r="F43" s="16">
        <f t="shared" ca="1" si="22"/>
        <v>0</v>
      </c>
      <c r="G43" s="16">
        <f t="shared" ca="1" si="23"/>
        <v>0</v>
      </c>
      <c r="H43" s="16">
        <f t="shared" ca="1" si="24"/>
        <v>0</v>
      </c>
      <c r="I43" s="16">
        <f t="shared" ca="1" si="25"/>
        <v>0</v>
      </c>
      <c r="J43" s="16">
        <f t="shared" ca="1" si="26"/>
        <v>0</v>
      </c>
      <c r="K43" s="16">
        <f t="shared" ca="1" si="27"/>
        <v>0</v>
      </c>
      <c r="L43" s="16">
        <f t="shared" ca="1" si="28"/>
        <v>0</v>
      </c>
      <c r="M43" s="16">
        <f t="shared" ca="1" si="29"/>
        <v>0</v>
      </c>
      <c r="N43" s="16">
        <f t="shared" ca="1" si="30"/>
        <v>0</v>
      </c>
      <c r="O43" s="16">
        <f t="shared" ca="1" si="31"/>
        <v>0</v>
      </c>
      <c r="P43" s="16">
        <f t="shared" ca="1" si="32"/>
        <v>0</v>
      </c>
      <c r="Q43" s="16">
        <f t="shared" ca="1" si="33"/>
        <v>0</v>
      </c>
      <c r="R43" s="16">
        <f t="shared" ca="1" si="34"/>
        <v>0</v>
      </c>
      <c r="S43" s="17">
        <f t="shared" ca="1" si="35"/>
        <v>0</v>
      </c>
    </row>
    <row r="44" spans="1:19" ht="13.8">
      <c r="A44" s="10">
        <f ca="1">IFERROR(__xludf.DUMMYFUNCTION("""COMPUTED_VALUE"""),43)</f>
        <v>43</v>
      </c>
      <c r="B44" s="10" t="str">
        <f t="shared" ca="1" si="18"/>
        <v>CLIP Sumapaz</v>
      </c>
      <c r="C44" s="11">
        <f t="shared" ca="1" si="19"/>
        <v>45349</v>
      </c>
      <c r="D44" s="16">
        <f t="shared" ca="1" si="20"/>
        <v>0</v>
      </c>
      <c r="E44" s="16">
        <f t="shared" ca="1" si="21"/>
        <v>0</v>
      </c>
      <c r="F44" s="16">
        <f t="shared" ca="1" si="22"/>
        <v>0</v>
      </c>
      <c r="G44" s="16">
        <f t="shared" ca="1" si="23"/>
        <v>0</v>
      </c>
      <c r="H44" s="16">
        <f t="shared" ca="1" si="24"/>
        <v>0</v>
      </c>
      <c r="I44" s="16">
        <f t="shared" ca="1" si="25"/>
        <v>0</v>
      </c>
      <c r="J44" s="16">
        <f t="shared" ca="1" si="26"/>
        <v>0</v>
      </c>
      <c r="K44" s="16">
        <f t="shared" ca="1" si="27"/>
        <v>0</v>
      </c>
      <c r="L44" s="16">
        <f t="shared" ca="1" si="28"/>
        <v>0</v>
      </c>
      <c r="M44" s="16">
        <f t="shared" ca="1" si="29"/>
        <v>0</v>
      </c>
      <c r="N44" s="16">
        <f t="shared" ca="1" si="30"/>
        <v>0</v>
      </c>
      <c r="O44" s="16">
        <f t="shared" ca="1" si="31"/>
        <v>0</v>
      </c>
      <c r="P44" s="16">
        <f t="shared" ca="1" si="32"/>
        <v>0</v>
      </c>
      <c r="Q44" s="16">
        <f t="shared" ca="1" si="33"/>
        <v>0</v>
      </c>
      <c r="R44" s="16">
        <f t="shared" ca="1" si="34"/>
        <v>0</v>
      </c>
      <c r="S44" s="17">
        <f t="shared" ca="1" si="35"/>
        <v>0</v>
      </c>
    </row>
    <row r="45" spans="1:19" ht="13.8">
      <c r="A45" s="10">
        <f ca="1">IFERROR(__xludf.DUMMYFUNCTION("""COMPUTED_VALUE"""),44)</f>
        <v>44</v>
      </c>
      <c r="B45" s="10" t="str">
        <f t="shared" ca="1" si="18"/>
        <v>CLIP Ciudad Bolívar</v>
      </c>
      <c r="C45" s="11">
        <f t="shared" ca="1" si="19"/>
        <v>45349</v>
      </c>
      <c r="D45" s="16">
        <f t="shared" ca="1" si="20"/>
        <v>0</v>
      </c>
      <c r="E45" s="16">
        <f t="shared" ca="1" si="21"/>
        <v>0</v>
      </c>
      <c r="F45" s="16">
        <f t="shared" ca="1" si="22"/>
        <v>0</v>
      </c>
      <c r="G45" s="16">
        <f t="shared" ca="1" si="23"/>
        <v>0</v>
      </c>
      <c r="H45" s="16">
        <f t="shared" ca="1" si="24"/>
        <v>0</v>
      </c>
      <c r="I45" s="16">
        <f t="shared" ca="1" si="25"/>
        <v>0</v>
      </c>
      <c r="J45" s="16">
        <f t="shared" ca="1" si="26"/>
        <v>0</v>
      </c>
      <c r="K45" s="16">
        <f t="shared" ca="1" si="27"/>
        <v>0</v>
      </c>
      <c r="L45" s="16">
        <f t="shared" ca="1" si="28"/>
        <v>0</v>
      </c>
      <c r="M45" s="16">
        <f t="shared" ca="1" si="29"/>
        <v>0</v>
      </c>
      <c r="N45" s="16">
        <f t="shared" ca="1" si="30"/>
        <v>0</v>
      </c>
      <c r="O45" s="16">
        <f t="shared" ca="1" si="31"/>
        <v>0</v>
      </c>
      <c r="P45" s="16">
        <f t="shared" ca="1" si="32"/>
        <v>0</v>
      </c>
      <c r="Q45" s="16">
        <f t="shared" ca="1" si="33"/>
        <v>0</v>
      </c>
      <c r="R45" s="16">
        <f t="shared" ca="1" si="34"/>
        <v>0</v>
      </c>
      <c r="S45" s="17">
        <f t="shared" ca="1" si="35"/>
        <v>0</v>
      </c>
    </row>
    <row r="46" spans="1:19" ht="13.8">
      <c r="A46" s="10">
        <f ca="1">IFERROR(__xludf.DUMMYFUNCTION("""COMPUTED_VALUE"""),45)</f>
        <v>45</v>
      </c>
      <c r="B46" s="10" t="str">
        <f t="shared" ca="1" si="18"/>
        <v>Instalación del CTPD</v>
      </c>
      <c r="C46" s="11">
        <f t="shared" ca="1" si="19"/>
        <v>45349</v>
      </c>
      <c r="D46" s="16">
        <f t="shared" ca="1" si="20"/>
        <v>0</v>
      </c>
      <c r="E46" s="16">
        <f t="shared" ca="1" si="21"/>
        <v>0</v>
      </c>
      <c r="F46" s="16">
        <f t="shared" ca="1" si="22"/>
        <v>0</v>
      </c>
      <c r="G46" s="16">
        <f t="shared" ca="1" si="23"/>
        <v>0</v>
      </c>
      <c r="H46" s="16">
        <f t="shared" ca="1" si="24"/>
        <v>0</v>
      </c>
      <c r="I46" s="16">
        <f t="shared" ca="1" si="25"/>
        <v>0</v>
      </c>
      <c r="J46" s="16">
        <f t="shared" ca="1" si="26"/>
        <v>0</v>
      </c>
      <c r="K46" s="16">
        <f t="shared" ca="1" si="27"/>
        <v>0</v>
      </c>
      <c r="L46" s="16">
        <f t="shared" ca="1" si="28"/>
        <v>0</v>
      </c>
      <c r="M46" s="16">
        <f t="shared" ca="1" si="29"/>
        <v>0</v>
      </c>
      <c r="N46" s="16">
        <f t="shared" ca="1" si="30"/>
        <v>0</v>
      </c>
      <c r="O46" s="16">
        <f t="shared" ca="1" si="31"/>
        <v>0</v>
      </c>
      <c r="P46" s="16">
        <f t="shared" ca="1" si="32"/>
        <v>0</v>
      </c>
      <c r="Q46" s="16">
        <f t="shared" ca="1" si="33"/>
        <v>0</v>
      </c>
      <c r="R46" s="16">
        <f t="shared" ca="1" si="34"/>
        <v>0</v>
      </c>
      <c r="S46" s="17">
        <f t="shared" ca="1" si="35"/>
        <v>0</v>
      </c>
    </row>
    <row r="47" spans="1:19" ht="13.8">
      <c r="A47" s="10"/>
      <c r="B47" s="10" t="str">
        <f t="shared" si="18"/>
        <v/>
      </c>
      <c r="C47" s="11" t="str">
        <f t="shared" si="19"/>
        <v/>
      </c>
      <c r="D47" s="16" t="str">
        <f t="shared" si="20"/>
        <v/>
      </c>
      <c r="E47" s="16" t="str">
        <f t="shared" si="21"/>
        <v/>
      </c>
      <c r="F47" s="16" t="str">
        <f t="shared" si="22"/>
        <v/>
      </c>
      <c r="G47" s="16" t="str">
        <f t="shared" si="23"/>
        <v/>
      </c>
      <c r="H47" s="16" t="str">
        <f t="shared" si="24"/>
        <v/>
      </c>
      <c r="I47" s="16" t="str">
        <f t="shared" si="25"/>
        <v/>
      </c>
      <c r="J47" s="16" t="str">
        <f t="shared" si="26"/>
        <v/>
      </c>
      <c r="K47" s="16" t="str">
        <f t="shared" si="27"/>
        <v/>
      </c>
      <c r="L47" s="16" t="str">
        <f t="shared" si="28"/>
        <v/>
      </c>
      <c r="M47" s="16" t="str">
        <f t="shared" si="29"/>
        <v/>
      </c>
      <c r="N47" s="16" t="str">
        <f t="shared" si="30"/>
        <v/>
      </c>
      <c r="O47" s="16" t="str">
        <f t="shared" si="31"/>
        <v/>
      </c>
      <c r="P47" s="16" t="str">
        <f t="shared" si="32"/>
        <v/>
      </c>
      <c r="Q47" s="16" t="str">
        <f t="shared" si="33"/>
        <v/>
      </c>
      <c r="R47" s="16" t="str">
        <f t="shared" si="34"/>
        <v/>
      </c>
      <c r="S47" s="17" t="str">
        <f t="shared" si="35"/>
        <v/>
      </c>
    </row>
    <row r="48" spans="1:19" ht="27.6">
      <c r="A48" s="10">
        <f ca="1">IFERROR(__xludf.DUMMYFUNCTION("""COMPUTED_VALUE"""),47)</f>
        <v>47</v>
      </c>
      <c r="B48" s="10" t="str">
        <f t="shared" ca="1" si="18"/>
        <v>Entrega de propuesta borrador PDD al CTPD</v>
      </c>
      <c r="C48" s="11">
        <f t="shared" ca="1" si="19"/>
        <v>45350</v>
      </c>
      <c r="D48" s="16">
        <f t="shared" ca="1" si="20"/>
        <v>0</v>
      </c>
      <c r="E48" s="16">
        <f t="shared" ca="1" si="21"/>
        <v>0</v>
      </c>
      <c r="F48" s="16">
        <f t="shared" ca="1" si="22"/>
        <v>0</v>
      </c>
      <c r="G48" s="16">
        <f t="shared" ca="1" si="23"/>
        <v>0</v>
      </c>
      <c r="H48" s="16">
        <f t="shared" ca="1" si="24"/>
        <v>0</v>
      </c>
      <c r="I48" s="16">
        <f t="shared" ca="1" si="25"/>
        <v>0</v>
      </c>
      <c r="J48" s="16">
        <f t="shared" ca="1" si="26"/>
        <v>0</v>
      </c>
      <c r="K48" s="16">
        <f t="shared" ca="1" si="27"/>
        <v>0</v>
      </c>
      <c r="L48" s="16">
        <f t="shared" ca="1" si="28"/>
        <v>0</v>
      </c>
      <c r="M48" s="16">
        <f t="shared" ca="1" si="29"/>
        <v>0</v>
      </c>
      <c r="N48" s="16">
        <f t="shared" ca="1" si="30"/>
        <v>0</v>
      </c>
      <c r="O48" s="16">
        <f t="shared" ca="1" si="31"/>
        <v>0</v>
      </c>
      <c r="P48" s="16">
        <f t="shared" ca="1" si="32"/>
        <v>0</v>
      </c>
      <c r="Q48" s="16">
        <f t="shared" ca="1" si="33"/>
        <v>0</v>
      </c>
      <c r="R48" s="16">
        <f t="shared" ca="1" si="34"/>
        <v>0</v>
      </c>
      <c r="S48" s="17">
        <f t="shared" ca="1" si="35"/>
        <v>0</v>
      </c>
    </row>
    <row r="49" spans="1:19" ht="27.6">
      <c r="A49" s="10">
        <f ca="1">IFERROR(__xludf.DUMMYFUNCTION("""COMPUTED_VALUE"""),48)</f>
        <v>48</v>
      </c>
      <c r="B49" s="10" t="str">
        <f t="shared" ca="1" si="18"/>
        <v>Foro de Participación Ciudadana - Apuestas estratégicas del PDD</v>
      </c>
      <c r="C49" s="11">
        <f t="shared" ca="1" si="19"/>
        <v>45350</v>
      </c>
      <c r="D49" s="16">
        <f t="shared" ca="1" si="20"/>
        <v>0</v>
      </c>
      <c r="E49" s="16">
        <f t="shared" ca="1" si="21"/>
        <v>0</v>
      </c>
      <c r="F49" s="16">
        <f t="shared" ca="1" si="22"/>
        <v>0</v>
      </c>
      <c r="G49" s="16">
        <f t="shared" ca="1" si="23"/>
        <v>0</v>
      </c>
      <c r="H49" s="16">
        <f t="shared" ca="1" si="24"/>
        <v>0</v>
      </c>
      <c r="I49" s="16">
        <f t="shared" ca="1" si="25"/>
        <v>0</v>
      </c>
      <c r="J49" s="16">
        <f t="shared" ca="1" si="26"/>
        <v>0</v>
      </c>
      <c r="K49" s="16">
        <f t="shared" ca="1" si="27"/>
        <v>0</v>
      </c>
      <c r="L49" s="16">
        <f t="shared" ca="1" si="28"/>
        <v>0</v>
      </c>
      <c r="M49" s="16">
        <f t="shared" ca="1" si="29"/>
        <v>0</v>
      </c>
      <c r="N49" s="16">
        <f t="shared" ca="1" si="30"/>
        <v>0</v>
      </c>
      <c r="O49" s="16">
        <f t="shared" ca="1" si="31"/>
        <v>0</v>
      </c>
      <c r="P49" s="16">
        <f t="shared" ca="1" si="32"/>
        <v>0</v>
      </c>
      <c r="Q49" s="16">
        <f t="shared" ca="1" si="33"/>
        <v>0</v>
      </c>
      <c r="R49" s="16">
        <f t="shared" ca="1" si="34"/>
        <v>0</v>
      </c>
      <c r="S49" s="17">
        <f t="shared" ca="1" si="35"/>
        <v>0</v>
      </c>
    </row>
    <row r="50" spans="1:19" ht="27.6">
      <c r="A50" s="10">
        <f ca="1">IFERROR(__xludf.DUMMYFUNCTION("""COMPUTED_VALUE"""),49)</f>
        <v>49</v>
      </c>
      <c r="B50" s="10" t="str">
        <f t="shared" ca="1" si="18"/>
        <v xml:space="preserve">Rendición de cuentas JAL San Cristóbal </v>
      </c>
      <c r="C50" s="11">
        <f t="shared" ca="1" si="19"/>
        <v>45351</v>
      </c>
      <c r="D50" s="16">
        <f t="shared" ca="1" si="20"/>
        <v>0</v>
      </c>
      <c r="E50" s="16">
        <f t="shared" ca="1" si="21"/>
        <v>0</v>
      </c>
      <c r="F50" s="16">
        <f t="shared" ca="1" si="22"/>
        <v>0</v>
      </c>
      <c r="G50" s="16">
        <f t="shared" ca="1" si="23"/>
        <v>0</v>
      </c>
      <c r="H50" s="16">
        <f t="shared" ca="1" si="24"/>
        <v>0</v>
      </c>
      <c r="I50" s="16">
        <f t="shared" ca="1" si="25"/>
        <v>0</v>
      </c>
      <c r="J50" s="16">
        <f t="shared" ca="1" si="26"/>
        <v>0</v>
      </c>
      <c r="K50" s="16">
        <f t="shared" ca="1" si="27"/>
        <v>0</v>
      </c>
      <c r="L50" s="16">
        <f t="shared" ca="1" si="28"/>
        <v>0</v>
      </c>
      <c r="M50" s="16">
        <f t="shared" ca="1" si="29"/>
        <v>0</v>
      </c>
      <c r="N50" s="16">
        <f t="shared" ca="1" si="30"/>
        <v>0</v>
      </c>
      <c r="O50" s="16">
        <f t="shared" ca="1" si="31"/>
        <v>0</v>
      </c>
      <c r="P50" s="16">
        <f t="shared" ca="1" si="32"/>
        <v>0</v>
      </c>
      <c r="Q50" s="16">
        <f t="shared" ca="1" si="33"/>
        <v>0</v>
      </c>
      <c r="R50" s="16">
        <f t="shared" ca="1" si="34"/>
        <v>0</v>
      </c>
      <c r="S50" s="17">
        <f t="shared" ca="1" si="35"/>
        <v>0</v>
      </c>
    </row>
    <row r="51" spans="1:19" ht="13.8">
      <c r="A51" s="10"/>
      <c r="B51" s="10" t="str">
        <f t="shared" si="18"/>
        <v/>
      </c>
      <c r="C51" s="11" t="str">
        <f t="shared" si="19"/>
        <v/>
      </c>
      <c r="D51" s="16" t="str">
        <f t="shared" si="20"/>
        <v/>
      </c>
      <c r="E51" s="16" t="str">
        <f t="shared" si="21"/>
        <v/>
      </c>
      <c r="F51" s="16" t="str">
        <f t="shared" si="22"/>
        <v/>
      </c>
      <c r="G51" s="16" t="str">
        <f t="shared" si="23"/>
        <v/>
      </c>
      <c r="H51" s="16" t="str">
        <f t="shared" si="24"/>
        <v/>
      </c>
      <c r="I51" s="16" t="str">
        <f t="shared" si="25"/>
        <v/>
      </c>
      <c r="J51" s="16" t="str">
        <f t="shared" si="26"/>
        <v/>
      </c>
      <c r="K51" s="16" t="str">
        <f t="shared" si="27"/>
        <v/>
      </c>
      <c r="L51" s="16" t="str">
        <f t="shared" si="28"/>
        <v/>
      </c>
      <c r="M51" s="16" t="str">
        <f t="shared" si="29"/>
        <v/>
      </c>
      <c r="N51" s="16" t="str">
        <f t="shared" si="30"/>
        <v/>
      </c>
      <c r="O51" s="16" t="str">
        <f t="shared" si="31"/>
        <v/>
      </c>
      <c r="P51" s="16" t="str">
        <f t="shared" si="32"/>
        <v/>
      </c>
      <c r="Q51" s="16" t="str">
        <f t="shared" si="33"/>
        <v/>
      </c>
      <c r="R51" s="16" t="str">
        <f t="shared" si="34"/>
        <v/>
      </c>
      <c r="S51" s="17" t="str">
        <f t="shared" si="35"/>
        <v/>
      </c>
    </row>
    <row r="52" spans="1:19" ht="41.4">
      <c r="A52" s="10">
        <f ca="1">IFERROR(__xludf.DUMMYFUNCTION("""COMPUTED_VALUE"""),51)</f>
        <v>51</v>
      </c>
      <c r="B52" s="10" t="str">
        <f t="shared" ca="1" si="18"/>
        <v>Primer foro virtual con Servidores Públicos para la formulación del PDD - DASCD/SDP</v>
      </c>
      <c r="C52" s="11">
        <f t="shared" ca="1" si="19"/>
        <v>45351</v>
      </c>
      <c r="D52" s="16">
        <f t="shared" ca="1" si="20"/>
        <v>0</v>
      </c>
      <c r="E52" s="16">
        <f t="shared" ca="1" si="21"/>
        <v>0</v>
      </c>
      <c r="F52" s="16">
        <f t="shared" ca="1" si="22"/>
        <v>0</v>
      </c>
      <c r="G52" s="16">
        <f t="shared" ca="1" si="23"/>
        <v>0</v>
      </c>
      <c r="H52" s="16">
        <f t="shared" ca="1" si="24"/>
        <v>0</v>
      </c>
      <c r="I52" s="16">
        <f t="shared" ca="1" si="25"/>
        <v>0</v>
      </c>
      <c r="J52" s="16">
        <f t="shared" ca="1" si="26"/>
        <v>0</v>
      </c>
      <c r="K52" s="16">
        <f t="shared" ca="1" si="27"/>
        <v>0</v>
      </c>
      <c r="L52" s="16">
        <f t="shared" ca="1" si="28"/>
        <v>0</v>
      </c>
      <c r="M52" s="16">
        <f t="shared" ca="1" si="29"/>
        <v>0</v>
      </c>
      <c r="N52" s="16">
        <f t="shared" ca="1" si="30"/>
        <v>0</v>
      </c>
      <c r="O52" s="16">
        <f t="shared" ca="1" si="31"/>
        <v>0</v>
      </c>
      <c r="P52" s="16">
        <f t="shared" ca="1" si="32"/>
        <v>0</v>
      </c>
      <c r="Q52" s="16">
        <f t="shared" ca="1" si="33"/>
        <v>0</v>
      </c>
      <c r="R52" s="16">
        <f t="shared" ca="1" si="34"/>
        <v>0</v>
      </c>
      <c r="S52" s="17">
        <f t="shared" ca="1" si="35"/>
        <v>0</v>
      </c>
    </row>
    <row r="53" spans="1:19" ht="13.8">
      <c r="A53" s="10"/>
      <c r="B53" s="10" t="str">
        <f t="shared" si="18"/>
        <v/>
      </c>
      <c r="C53" s="11" t="str">
        <f t="shared" si="19"/>
        <v/>
      </c>
      <c r="D53" s="16" t="str">
        <f t="shared" si="20"/>
        <v/>
      </c>
      <c r="E53" s="16" t="str">
        <f t="shared" si="21"/>
        <v/>
      </c>
      <c r="F53" s="16" t="str">
        <f t="shared" si="22"/>
        <v/>
      </c>
      <c r="G53" s="16" t="str">
        <f t="shared" si="23"/>
        <v/>
      </c>
      <c r="H53" s="16" t="str">
        <f t="shared" si="24"/>
        <v/>
      </c>
      <c r="I53" s="16" t="str">
        <f t="shared" si="25"/>
        <v/>
      </c>
      <c r="J53" s="16" t="str">
        <f t="shared" si="26"/>
        <v/>
      </c>
      <c r="K53" s="16" t="str">
        <f t="shared" si="27"/>
        <v/>
      </c>
      <c r="L53" s="16" t="str">
        <f t="shared" si="28"/>
        <v/>
      </c>
      <c r="M53" s="16" t="str">
        <f t="shared" si="29"/>
        <v/>
      </c>
      <c r="N53" s="16" t="str">
        <f t="shared" si="30"/>
        <v/>
      </c>
      <c r="O53" s="16" t="str">
        <f t="shared" si="31"/>
        <v/>
      </c>
      <c r="P53" s="16" t="str">
        <f t="shared" si="32"/>
        <v/>
      </c>
      <c r="Q53" s="16" t="str">
        <f t="shared" si="33"/>
        <v/>
      </c>
      <c r="R53" s="16" t="str">
        <f t="shared" si="34"/>
        <v/>
      </c>
      <c r="S53" s="17" t="str">
        <f t="shared" si="35"/>
        <v/>
      </c>
    </row>
    <row r="54" spans="1:19" ht="27.6">
      <c r="A54" s="10">
        <f ca="1">IFERROR(__xludf.DUMMYFUNCTION("""COMPUTED_VALUE"""),53)</f>
        <v>53</v>
      </c>
      <c r="B54" s="10" t="str">
        <f t="shared" ca="1" si="18"/>
        <v>Sesión Red Institucional de Apoyo a las Veedurías Ciudadanas</v>
      </c>
      <c r="C54" s="11">
        <f t="shared" ca="1" si="19"/>
        <v>45351</v>
      </c>
      <c r="D54" s="16">
        <f t="shared" ca="1" si="20"/>
        <v>0</v>
      </c>
      <c r="E54" s="16">
        <f t="shared" ca="1" si="21"/>
        <v>0</v>
      </c>
      <c r="F54" s="16">
        <f t="shared" ca="1" si="22"/>
        <v>0</v>
      </c>
      <c r="G54" s="16">
        <f t="shared" ca="1" si="23"/>
        <v>0</v>
      </c>
      <c r="H54" s="16">
        <f t="shared" ca="1" si="24"/>
        <v>0</v>
      </c>
      <c r="I54" s="16">
        <f t="shared" ca="1" si="25"/>
        <v>0</v>
      </c>
      <c r="J54" s="16">
        <f t="shared" ca="1" si="26"/>
        <v>0</v>
      </c>
      <c r="K54" s="16">
        <f t="shared" ca="1" si="27"/>
        <v>0</v>
      </c>
      <c r="L54" s="16">
        <f t="shared" ca="1" si="28"/>
        <v>0</v>
      </c>
      <c r="M54" s="16">
        <f t="shared" ca="1" si="29"/>
        <v>0</v>
      </c>
      <c r="N54" s="16">
        <f t="shared" ca="1" si="30"/>
        <v>0</v>
      </c>
      <c r="O54" s="16">
        <f t="shared" ca="1" si="31"/>
        <v>0</v>
      </c>
      <c r="P54" s="16">
        <f t="shared" ca="1" si="32"/>
        <v>0</v>
      </c>
      <c r="Q54" s="16">
        <f t="shared" ca="1" si="33"/>
        <v>0</v>
      </c>
      <c r="R54" s="16">
        <f t="shared" ca="1" si="34"/>
        <v>0</v>
      </c>
      <c r="S54" s="17">
        <f t="shared" ca="1" si="35"/>
        <v>0</v>
      </c>
    </row>
    <row r="55" spans="1:19" ht="41.4">
      <c r="A55" s="10">
        <f ca="1">IFERROR(__xludf.DUMMYFUNCTION("""COMPUTED_VALUE"""),54)</f>
        <v>54</v>
      </c>
      <c r="B55" s="10" t="str">
        <f t="shared" ca="1" si="18"/>
        <v>Dialogo Ciudadano para la Construcción del PDD - UPL Suba Rincón</v>
      </c>
      <c r="C55" s="11">
        <f t="shared" ca="1" si="19"/>
        <v>45352</v>
      </c>
      <c r="D55" s="16">
        <f t="shared" ca="1" si="20"/>
        <v>0</v>
      </c>
      <c r="E55" s="16">
        <f t="shared" ca="1" si="21"/>
        <v>0</v>
      </c>
      <c r="F55" s="16">
        <f t="shared" ca="1" si="22"/>
        <v>0</v>
      </c>
      <c r="G55" s="16">
        <f t="shared" ca="1" si="23"/>
        <v>0</v>
      </c>
      <c r="H55" s="16">
        <f t="shared" ca="1" si="24"/>
        <v>0</v>
      </c>
      <c r="I55" s="16">
        <f t="shared" ca="1" si="25"/>
        <v>0</v>
      </c>
      <c r="J55" s="16">
        <f t="shared" ca="1" si="26"/>
        <v>0</v>
      </c>
      <c r="K55" s="16">
        <f t="shared" ca="1" si="27"/>
        <v>0</v>
      </c>
      <c r="L55" s="16">
        <f t="shared" ca="1" si="28"/>
        <v>0</v>
      </c>
      <c r="M55" s="16">
        <f t="shared" ca="1" si="29"/>
        <v>0</v>
      </c>
      <c r="N55" s="16">
        <f t="shared" ca="1" si="30"/>
        <v>0</v>
      </c>
      <c r="O55" s="16">
        <f t="shared" ca="1" si="31"/>
        <v>0</v>
      </c>
      <c r="P55" s="16">
        <f t="shared" ca="1" si="32"/>
        <v>0</v>
      </c>
      <c r="Q55" s="16">
        <f t="shared" ca="1" si="33"/>
        <v>0</v>
      </c>
      <c r="R55" s="16">
        <f t="shared" ca="1" si="34"/>
        <v>0</v>
      </c>
      <c r="S55" s="17">
        <f t="shared" ca="1" si="35"/>
        <v>0</v>
      </c>
    </row>
    <row r="56" spans="1:19" ht="27.6">
      <c r="A56" s="10">
        <f ca="1">IFERROR(__xludf.DUMMYFUNCTION("""COMPUTED_VALUE"""),55)</f>
        <v>55</v>
      </c>
      <c r="B56" s="10" t="str">
        <f t="shared" ca="1" si="18"/>
        <v>Presentación de la estrategia de Participación del PDD al CCPH</v>
      </c>
      <c r="C56" s="11">
        <f t="shared" ca="1" si="19"/>
        <v>45352</v>
      </c>
      <c r="D56" s="16">
        <f t="shared" ca="1" si="20"/>
        <v>0</v>
      </c>
      <c r="E56" s="16">
        <f t="shared" ca="1" si="21"/>
        <v>0</v>
      </c>
      <c r="F56" s="16">
        <f t="shared" ca="1" si="22"/>
        <v>0</v>
      </c>
      <c r="G56" s="16">
        <f t="shared" ca="1" si="23"/>
        <v>0</v>
      </c>
      <c r="H56" s="16">
        <f t="shared" ca="1" si="24"/>
        <v>0</v>
      </c>
      <c r="I56" s="16">
        <f t="shared" ca="1" si="25"/>
        <v>0</v>
      </c>
      <c r="J56" s="16">
        <f t="shared" ca="1" si="26"/>
        <v>0</v>
      </c>
      <c r="K56" s="16">
        <f t="shared" ca="1" si="27"/>
        <v>0</v>
      </c>
      <c r="L56" s="16">
        <f t="shared" ca="1" si="28"/>
        <v>0</v>
      </c>
      <c r="M56" s="16">
        <f t="shared" ca="1" si="29"/>
        <v>0</v>
      </c>
      <c r="N56" s="16">
        <f t="shared" ca="1" si="30"/>
        <v>0</v>
      </c>
      <c r="O56" s="16">
        <f t="shared" ca="1" si="31"/>
        <v>0</v>
      </c>
      <c r="P56" s="16">
        <f t="shared" ca="1" si="32"/>
        <v>0</v>
      </c>
      <c r="Q56" s="16">
        <f t="shared" ca="1" si="33"/>
        <v>0</v>
      </c>
      <c r="R56" s="16">
        <f t="shared" ca="1" si="34"/>
        <v>0</v>
      </c>
      <c r="S56" s="17">
        <f t="shared" ca="1" si="35"/>
        <v>0</v>
      </c>
    </row>
    <row r="57" spans="1:19" ht="13.8">
      <c r="A57" s="10">
        <f ca="1">IFERROR(__xludf.DUMMYFUNCTION("""COMPUTED_VALUE"""),56)</f>
        <v>56</v>
      </c>
      <c r="B57" s="10" t="str">
        <f t="shared" ca="1" si="18"/>
        <v>Plenaria Ordinaria - CTPD</v>
      </c>
      <c r="C57" s="11">
        <f t="shared" ca="1" si="19"/>
        <v>45352</v>
      </c>
      <c r="D57" s="16">
        <f t="shared" ca="1" si="20"/>
        <v>0</v>
      </c>
      <c r="E57" s="16">
        <f t="shared" ca="1" si="21"/>
        <v>0</v>
      </c>
      <c r="F57" s="16">
        <f t="shared" ca="1" si="22"/>
        <v>0</v>
      </c>
      <c r="G57" s="16">
        <f t="shared" ca="1" si="23"/>
        <v>0</v>
      </c>
      <c r="H57" s="16">
        <f t="shared" ca="1" si="24"/>
        <v>0</v>
      </c>
      <c r="I57" s="16">
        <f t="shared" ca="1" si="25"/>
        <v>0</v>
      </c>
      <c r="J57" s="16">
        <f t="shared" ca="1" si="26"/>
        <v>0</v>
      </c>
      <c r="K57" s="16">
        <f t="shared" ca="1" si="27"/>
        <v>0</v>
      </c>
      <c r="L57" s="16">
        <f t="shared" ca="1" si="28"/>
        <v>0</v>
      </c>
      <c r="M57" s="16">
        <f t="shared" ca="1" si="29"/>
        <v>0</v>
      </c>
      <c r="N57" s="16">
        <f t="shared" ca="1" si="30"/>
        <v>0</v>
      </c>
      <c r="O57" s="16">
        <f t="shared" ca="1" si="31"/>
        <v>0</v>
      </c>
      <c r="P57" s="16">
        <f t="shared" ca="1" si="32"/>
        <v>0</v>
      </c>
      <c r="Q57" s="16">
        <f t="shared" ca="1" si="33"/>
        <v>0</v>
      </c>
      <c r="R57" s="16">
        <f t="shared" ca="1" si="34"/>
        <v>0</v>
      </c>
      <c r="S57" s="17">
        <f t="shared" ca="1" si="35"/>
        <v>0</v>
      </c>
    </row>
    <row r="58" spans="1:19" ht="41.4">
      <c r="A58" s="10">
        <f ca="1">IFERROR(__xludf.DUMMYFUNCTION("""COMPUTED_VALUE"""),57)</f>
        <v>57</v>
      </c>
      <c r="B58" s="10" t="str">
        <f t="shared" ca="1" si="18"/>
        <v>Dialogo Ciudadano para la Construcción del PDD - UPL Restrepo</v>
      </c>
      <c r="C58" s="11">
        <f t="shared" ca="1" si="19"/>
        <v>45353</v>
      </c>
      <c r="D58" s="16">
        <f t="shared" ca="1" si="20"/>
        <v>0</v>
      </c>
      <c r="E58" s="16">
        <f t="shared" ca="1" si="21"/>
        <v>0</v>
      </c>
      <c r="F58" s="16">
        <f t="shared" ca="1" si="22"/>
        <v>0</v>
      </c>
      <c r="G58" s="16">
        <f t="shared" ca="1" si="23"/>
        <v>0</v>
      </c>
      <c r="H58" s="16">
        <f t="shared" ca="1" si="24"/>
        <v>0</v>
      </c>
      <c r="I58" s="16">
        <f t="shared" ca="1" si="25"/>
        <v>0</v>
      </c>
      <c r="J58" s="16">
        <f t="shared" ca="1" si="26"/>
        <v>0</v>
      </c>
      <c r="K58" s="16">
        <f t="shared" ca="1" si="27"/>
        <v>0</v>
      </c>
      <c r="L58" s="16">
        <f t="shared" ca="1" si="28"/>
        <v>0</v>
      </c>
      <c r="M58" s="16">
        <f t="shared" ca="1" si="29"/>
        <v>0</v>
      </c>
      <c r="N58" s="16">
        <f t="shared" ca="1" si="30"/>
        <v>0</v>
      </c>
      <c r="O58" s="16">
        <f t="shared" ca="1" si="31"/>
        <v>0</v>
      </c>
      <c r="P58" s="16">
        <f t="shared" ca="1" si="32"/>
        <v>0</v>
      </c>
      <c r="Q58" s="16">
        <f t="shared" ca="1" si="33"/>
        <v>0</v>
      </c>
      <c r="R58" s="16">
        <f t="shared" ca="1" si="34"/>
        <v>0</v>
      </c>
      <c r="S58" s="17">
        <f t="shared" ca="1" si="35"/>
        <v>0</v>
      </c>
    </row>
    <row r="59" spans="1:19" ht="41.4">
      <c r="A59" s="10">
        <f ca="1">IFERROR(__xludf.DUMMYFUNCTION("""COMPUTED_VALUE"""),58)</f>
        <v>58</v>
      </c>
      <c r="B59" s="10" t="str">
        <f t="shared" ca="1" si="18"/>
        <v>Dialogo Ciudadano para la Construcción del PDD - UPL Fontibón</v>
      </c>
      <c r="C59" s="11">
        <f t="shared" ca="1" si="19"/>
        <v>45353</v>
      </c>
      <c r="D59" s="16">
        <f t="shared" ca="1" si="20"/>
        <v>0</v>
      </c>
      <c r="E59" s="16">
        <f t="shared" ca="1" si="21"/>
        <v>0</v>
      </c>
      <c r="F59" s="16">
        <f t="shared" ca="1" si="22"/>
        <v>0</v>
      </c>
      <c r="G59" s="16">
        <f t="shared" ca="1" si="23"/>
        <v>0</v>
      </c>
      <c r="H59" s="16">
        <f t="shared" ca="1" si="24"/>
        <v>0</v>
      </c>
      <c r="I59" s="16">
        <f t="shared" ca="1" si="25"/>
        <v>0</v>
      </c>
      <c r="J59" s="16">
        <f t="shared" ca="1" si="26"/>
        <v>0</v>
      </c>
      <c r="K59" s="16">
        <f t="shared" ca="1" si="27"/>
        <v>0</v>
      </c>
      <c r="L59" s="16">
        <f t="shared" ca="1" si="28"/>
        <v>0</v>
      </c>
      <c r="M59" s="16">
        <f t="shared" ca="1" si="29"/>
        <v>0</v>
      </c>
      <c r="N59" s="16">
        <f t="shared" ca="1" si="30"/>
        <v>0</v>
      </c>
      <c r="O59" s="16">
        <f t="shared" ca="1" si="31"/>
        <v>0</v>
      </c>
      <c r="P59" s="16">
        <f t="shared" ca="1" si="32"/>
        <v>0</v>
      </c>
      <c r="Q59" s="16">
        <f t="shared" ca="1" si="33"/>
        <v>0</v>
      </c>
      <c r="R59" s="16">
        <f t="shared" ca="1" si="34"/>
        <v>0</v>
      </c>
      <c r="S59" s="17">
        <f t="shared" ca="1" si="35"/>
        <v>0</v>
      </c>
    </row>
    <row r="60" spans="1:19" ht="41.4">
      <c r="A60" s="10">
        <f ca="1">IFERROR(__xludf.DUMMYFUNCTION("""COMPUTED_VALUE"""),59)</f>
        <v>59</v>
      </c>
      <c r="B60" s="10" t="str">
        <f t="shared" ca="1" si="18"/>
        <v>Diálogo Ciudadano Poblacional para la Construcción del PDD - Consejo Consultivo de Mujeres</v>
      </c>
      <c r="C60" s="11">
        <f t="shared" ca="1" si="19"/>
        <v>45355</v>
      </c>
      <c r="D60" s="16">
        <f t="shared" ca="1" si="20"/>
        <v>0</v>
      </c>
      <c r="E60" s="16">
        <f t="shared" ca="1" si="21"/>
        <v>0</v>
      </c>
      <c r="F60" s="16">
        <f t="shared" ca="1" si="22"/>
        <v>0</v>
      </c>
      <c r="G60" s="16">
        <f t="shared" ca="1" si="23"/>
        <v>0</v>
      </c>
      <c r="H60" s="16">
        <f t="shared" ca="1" si="24"/>
        <v>0</v>
      </c>
      <c r="I60" s="16">
        <f t="shared" ca="1" si="25"/>
        <v>0</v>
      </c>
      <c r="J60" s="16">
        <f t="shared" ca="1" si="26"/>
        <v>0</v>
      </c>
      <c r="K60" s="16">
        <f t="shared" ca="1" si="27"/>
        <v>0</v>
      </c>
      <c r="L60" s="16">
        <f t="shared" ca="1" si="28"/>
        <v>0</v>
      </c>
      <c r="M60" s="16">
        <f t="shared" ca="1" si="29"/>
        <v>0</v>
      </c>
      <c r="N60" s="16">
        <f t="shared" ca="1" si="30"/>
        <v>0</v>
      </c>
      <c r="O60" s="16">
        <f t="shared" ca="1" si="31"/>
        <v>0</v>
      </c>
      <c r="P60" s="16">
        <f t="shared" ca="1" si="32"/>
        <v>0</v>
      </c>
      <c r="Q60" s="16">
        <f t="shared" ca="1" si="33"/>
        <v>0</v>
      </c>
      <c r="R60" s="16">
        <f t="shared" ca="1" si="34"/>
        <v>0</v>
      </c>
      <c r="S60" s="17">
        <f t="shared" ca="1" si="35"/>
        <v>0</v>
      </c>
    </row>
    <row r="61" spans="1:19" ht="41.4">
      <c r="A61" s="10">
        <f ca="1">IFERROR(__xludf.DUMMYFUNCTION("""COMPUTED_VALUE"""),60)</f>
        <v>60</v>
      </c>
      <c r="B61" s="10" t="str">
        <f t="shared" ca="1" si="18"/>
        <v>Dialogo Ciudadano para la Construcción del PDD - UPL Usaquén</v>
      </c>
      <c r="C61" s="11">
        <f t="shared" ca="1" si="19"/>
        <v>45355</v>
      </c>
      <c r="D61" s="16">
        <f t="shared" ca="1" si="20"/>
        <v>0</v>
      </c>
      <c r="E61" s="16">
        <f t="shared" ca="1" si="21"/>
        <v>0</v>
      </c>
      <c r="F61" s="16">
        <f t="shared" ca="1" si="22"/>
        <v>0</v>
      </c>
      <c r="G61" s="16">
        <f t="shared" ca="1" si="23"/>
        <v>0</v>
      </c>
      <c r="H61" s="16">
        <f t="shared" ca="1" si="24"/>
        <v>0</v>
      </c>
      <c r="I61" s="16">
        <f t="shared" ca="1" si="25"/>
        <v>0</v>
      </c>
      <c r="J61" s="16">
        <f t="shared" ca="1" si="26"/>
        <v>0</v>
      </c>
      <c r="K61" s="16">
        <f t="shared" ca="1" si="27"/>
        <v>0</v>
      </c>
      <c r="L61" s="16">
        <f t="shared" ca="1" si="28"/>
        <v>0</v>
      </c>
      <c r="M61" s="16">
        <f t="shared" ca="1" si="29"/>
        <v>0</v>
      </c>
      <c r="N61" s="16">
        <f t="shared" ca="1" si="30"/>
        <v>0</v>
      </c>
      <c r="O61" s="16">
        <f t="shared" ca="1" si="31"/>
        <v>0</v>
      </c>
      <c r="P61" s="16">
        <f t="shared" ca="1" si="32"/>
        <v>0</v>
      </c>
      <c r="Q61" s="16">
        <f t="shared" ca="1" si="33"/>
        <v>0</v>
      </c>
      <c r="R61" s="16">
        <f t="shared" ca="1" si="34"/>
        <v>0</v>
      </c>
      <c r="S61" s="17">
        <f t="shared" ca="1" si="35"/>
        <v>0</v>
      </c>
    </row>
    <row r="62" spans="1:19" ht="41.4">
      <c r="A62" s="10">
        <f ca="1">IFERROR(__xludf.DUMMYFUNCTION("""COMPUTED_VALUE"""),61)</f>
        <v>61</v>
      </c>
      <c r="B62" s="10" t="str">
        <f t="shared" ca="1" si="18"/>
        <v>Segundo foro virtual con Servidores Públicos para la formulación del PDD - DASCD/SDP</v>
      </c>
      <c r="C62" s="11">
        <f t="shared" ca="1" si="19"/>
        <v>45356</v>
      </c>
      <c r="D62" s="16">
        <f t="shared" ca="1" si="20"/>
        <v>0</v>
      </c>
      <c r="E62" s="16">
        <f t="shared" ca="1" si="21"/>
        <v>0</v>
      </c>
      <c r="F62" s="16">
        <f t="shared" ca="1" si="22"/>
        <v>0</v>
      </c>
      <c r="G62" s="16">
        <f t="shared" ca="1" si="23"/>
        <v>0</v>
      </c>
      <c r="H62" s="16">
        <f t="shared" ca="1" si="24"/>
        <v>0</v>
      </c>
      <c r="I62" s="16">
        <f t="shared" ca="1" si="25"/>
        <v>0</v>
      </c>
      <c r="J62" s="16">
        <f t="shared" ca="1" si="26"/>
        <v>0</v>
      </c>
      <c r="K62" s="16">
        <f t="shared" ca="1" si="27"/>
        <v>0</v>
      </c>
      <c r="L62" s="16">
        <f t="shared" ca="1" si="28"/>
        <v>0</v>
      </c>
      <c r="M62" s="16">
        <f t="shared" ca="1" si="29"/>
        <v>0</v>
      </c>
      <c r="N62" s="16">
        <f t="shared" ca="1" si="30"/>
        <v>0</v>
      </c>
      <c r="O62" s="16">
        <f t="shared" ca="1" si="31"/>
        <v>0</v>
      </c>
      <c r="P62" s="16">
        <f t="shared" ca="1" si="32"/>
        <v>0</v>
      </c>
      <c r="Q62" s="16">
        <f t="shared" ca="1" si="33"/>
        <v>0</v>
      </c>
      <c r="R62" s="16">
        <f t="shared" ca="1" si="34"/>
        <v>0</v>
      </c>
      <c r="S62" s="17">
        <f t="shared" ca="1" si="35"/>
        <v>0</v>
      </c>
    </row>
    <row r="63" spans="1:19" ht="27.6">
      <c r="A63" s="10">
        <f ca="1">IFERROR(__xludf.DUMMYFUNCTION("""COMPUTED_VALUE"""),62)</f>
        <v>62</v>
      </c>
      <c r="B63" s="10" t="str">
        <f t="shared" ca="1" si="18"/>
        <v>Dialogo Ciudadano para la Construcción del PDD - UPL Lucero</v>
      </c>
      <c r="C63" s="11">
        <f t="shared" ca="1" si="19"/>
        <v>45356</v>
      </c>
      <c r="D63" s="16">
        <f t="shared" ca="1" si="20"/>
        <v>0</v>
      </c>
      <c r="E63" s="16">
        <f t="shared" ca="1" si="21"/>
        <v>0</v>
      </c>
      <c r="F63" s="16">
        <f t="shared" ca="1" si="22"/>
        <v>0</v>
      </c>
      <c r="G63" s="16">
        <f t="shared" ca="1" si="23"/>
        <v>0</v>
      </c>
      <c r="H63" s="16">
        <f t="shared" ca="1" si="24"/>
        <v>0</v>
      </c>
      <c r="I63" s="16">
        <f t="shared" ca="1" si="25"/>
        <v>0</v>
      </c>
      <c r="J63" s="16">
        <f t="shared" ca="1" si="26"/>
        <v>0</v>
      </c>
      <c r="K63" s="16">
        <f t="shared" ca="1" si="27"/>
        <v>0</v>
      </c>
      <c r="L63" s="16">
        <f t="shared" ca="1" si="28"/>
        <v>0</v>
      </c>
      <c r="M63" s="16">
        <f t="shared" ca="1" si="29"/>
        <v>0</v>
      </c>
      <c r="N63" s="16">
        <f t="shared" ca="1" si="30"/>
        <v>0</v>
      </c>
      <c r="O63" s="16">
        <f t="shared" ca="1" si="31"/>
        <v>0</v>
      </c>
      <c r="P63" s="16">
        <f t="shared" ca="1" si="32"/>
        <v>0</v>
      </c>
      <c r="Q63" s="16">
        <f t="shared" ca="1" si="33"/>
        <v>0</v>
      </c>
      <c r="R63" s="16">
        <f t="shared" ca="1" si="34"/>
        <v>0</v>
      </c>
      <c r="S63" s="17">
        <f t="shared" ca="1" si="35"/>
        <v>0</v>
      </c>
    </row>
    <row r="64" spans="1:19" ht="13.8">
      <c r="A64" s="10">
        <f ca="1">IFERROR(__xludf.DUMMYFUNCTION("""COMPUTED_VALUE"""),63)</f>
        <v>63</v>
      </c>
      <c r="B64" s="10" t="str">
        <f t="shared" ca="1" si="18"/>
        <v>Plenaria CTPD</v>
      </c>
      <c r="C64" s="11">
        <f t="shared" ca="1" si="19"/>
        <v>45356</v>
      </c>
      <c r="D64" s="16">
        <f t="shared" ca="1" si="20"/>
        <v>0</v>
      </c>
      <c r="E64" s="16">
        <f t="shared" ca="1" si="21"/>
        <v>0</v>
      </c>
      <c r="F64" s="16">
        <f t="shared" ca="1" si="22"/>
        <v>0</v>
      </c>
      <c r="G64" s="16">
        <f t="shared" ca="1" si="23"/>
        <v>0</v>
      </c>
      <c r="H64" s="16">
        <f t="shared" ca="1" si="24"/>
        <v>0</v>
      </c>
      <c r="I64" s="16">
        <f t="shared" ca="1" si="25"/>
        <v>0</v>
      </c>
      <c r="J64" s="16">
        <f t="shared" ca="1" si="26"/>
        <v>0</v>
      </c>
      <c r="K64" s="16">
        <f t="shared" ca="1" si="27"/>
        <v>0</v>
      </c>
      <c r="L64" s="16">
        <f t="shared" ca="1" si="28"/>
        <v>0</v>
      </c>
      <c r="M64" s="16">
        <f t="shared" ca="1" si="29"/>
        <v>0</v>
      </c>
      <c r="N64" s="16">
        <f t="shared" ca="1" si="30"/>
        <v>0</v>
      </c>
      <c r="O64" s="16">
        <f t="shared" ca="1" si="31"/>
        <v>0</v>
      </c>
      <c r="P64" s="16">
        <f t="shared" ca="1" si="32"/>
        <v>0</v>
      </c>
      <c r="Q64" s="16">
        <f t="shared" ca="1" si="33"/>
        <v>0</v>
      </c>
      <c r="R64" s="16">
        <f t="shared" ca="1" si="34"/>
        <v>0</v>
      </c>
      <c r="S64" s="17">
        <f t="shared" ca="1" si="35"/>
        <v>0</v>
      </c>
    </row>
    <row r="65" spans="1:19" ht="13.8">
      <c r="A65" s="10"/>
      <c r="B65" s="10" t="str">
        <f t="shared" si="18"/>
        <v/>
      </c>
      <c r="C65" s="11" t="str">
        <f t="shared" si="19"/>
        <v/>
      </c>
      <c r="D65" s="16" t="str">
        <f t="shared" si="20"/>
        <v/>
      </c>
      <c r="E65" s="16" t="str">
        <f t="shared" si="21"/>
        <v/>
      </c>
      <c r="F65" s="16" t="str">
        <f t="shared" si="22"/>
        <v/>
      </c>
      <c r="G65" s="16" t="str">
        <f t="shared" si="23"/>
        <v/>
      </c>
      <c r="H65" s="16" t="str">
        <f t="shared" si="24"/>
        <v/>
      </c>
      <c r="I65" s="16" t="str">
        <f t="shared" si="25"/>
        <v/>
      </c>
      <c r="J65" s="16" t="str">
        <f t="shared" si="26"/>
        <v/>
      </c>
      <c r="K65" s="16" t="str">
        <f t="shared" si="27"/>
        <v/>
      </c>
      <c r="L65" s="16" t="str">
        <f t="shared" si="28"/>
        <v/>
      </c>
      <c r="M65" s="16" t="str">
        <f t="shared" si="29"/>
        <v/>
      </c>
      <c r="N65" s="16" t="str">
        <f t="shared" si="30"/>
        <v/>
      </c>
      <c r="O65" s="16" t="str">
        <f t="shared" si="31"/>
        <v/>
      </c>
      <c r="P65" s="16" t="str">
        <f t="shared" si="32"/>
        <v/>
      </c>
      <c r="Q65" s="16" t="str">
        <f t="shared" si="33"/>
        <v/>
      </c>
      <c r="R65" s="16" t="str">
        <f t="shared" si="34"/>
        <v/>
      </c>
      <c r="S65" s="17" t="str">
        <f t="shared" si="35"/>
        <v/>
      </c>
    </row>
    <row r="66" spans="1:19" ht="41.4">
      <c r="A66" s="10">
        <f ca="1">IFERROR(__xludf.DUMMYFUNCTION("""COMPUTED_VALUE"""),65)</f>
        <v>65</v>
      </c>
      <c r="B66" s="10" t="str">
        <f t="shared" ref="B66:B97" ca="1" si="36">IFERROR(VLOOKUP(A66,DATA_MATRIZ,2,FALSE),"")</f>
        <v>Conversatorio "¿Por qué se necesita el Plan de Desarrollo pa' arreglar el hueco de la esquina?"</v>
      </c>
      <c r="C66" s="11">
        <f t="shared" ref="C66:C97" ca="1" si="37">IFERROR(VLOOKUP(A66,DATA_MATRIZ,3,FALSE),"")</f>
        <v>45356</v>
      </c>
      <c r="D66" s="16">
        <f t="shared" ref="D66:D97" ca="1" si="38">IFERROR(VLOOKUP(A66,DATA_MATRIZ,89,FALSE),"")</f>
        <v>0</v>
      </c>
      <c r="E66" s="16">
        <f t="shared" ref="E66:E97" ca="1" si="39">IFERROR(VLOOKUP(A66,DATA_MATRIZ,90,FALSE),"")</f>
        <v>0</v>
      </c>
      <c r="F66" s="16">
        <f t="shared" ref="F66:F97" ca="1" si="40">IFERROR(VLOOKUP(A66,DATA_MATRIZ,96,FALSE),"")</f>
        <v>0</v>
      </c>
      <c r="G66" s="16">
        <f t="shared" ref="G66:G97" ca="1" si="41">IFERROR(VLOOKUP(A66,DATA_MATRIZ,91,FALSE),"")</f>
        <v>0</v>
      </c>
      <c r="H66" s="16">
        <f t="shared" ref="H66:H97" ca="1" si="42">IFERROR(VLOOKUP(A66,DATA_MATRIZ,97,FALSE),"")</f>
        <v>0</v>
      </c>
      <c r="I66" s="16">
        <f t="shared" ref="I66:I97" ca="1" si="43">IFERROR(VLOOKUP(A66,DATA_MATRIZ,92,FALSE),"")</f>
        <v>0</v>
      </c>
      <c r="J66" s="16">
        <f t="shared" ref="J66:J97" ca="1" si="44">IFERROR(VLOOKUP(A66,DATA_MATRIZ,98,FALSE),"")</f>
        <v>0</v>
      </c>
      <c r="K66" s="16">
        <f t="shared" ref="K66:K97" ca="1" si="45">IFERROR(VLOOKUP(A66,DATA_MATRIZ,93,FALSE),"")</f>
        <v>0</v>
      </c>
      <c r="L66" s="16">
        <f t="shared" ref="L66:L97" ca="1" si="46">IFERROR(VLOOKUP(A66,DATA_MATRIZ,99,FALSE),"")</f>
        <v>0</v>
      </c>
      <c r="M66" s="16">
        <f t="shared" ref="M66:M97" ca="1" si="47">IFERROR(VLOOKUP(A66,DATA_MATRIZ,94,FALSE),"")</f>
        <v>0</v>
      </c>
      <c r="N66" s="16">
        <f t="shared" ref="N66:N97" ca="1" si="48">IFERROR(VLOOKUP(A66,DATA_MATRIZ,100,FALSE),"")</f>
        <v>0</v>
      </c>
      <c r="O66" s="16">
        <f t="shared" ref="O66:O97" ca="1" si="49">IFERROR(VLOOKUP(A66,DATA_MATRIZ,95,FALSE),"")</f>
        <v>0</v>
      </c>
      <c r="P66" s="16">
        <f t="shared" ref="P66:P97" ca="1" si="50">IFERROR(VLOOKUP(A66,DATA_MATRIZ,101,FALSE),"")</f>
        <v>0</v>
      </c>
      <c r="Q66" s="16">
        <f t="shared" ref="Q66:Q97" ca="1" si="51">IFERROR(VLOOKUP(A66,DATA_MATRIZ,103,FALSE),"")</f>
        <v>0</v>
      </c>
      <c r="R66" s="16">
        <f t="shared" ref="R66:R97" ca="1" si="52">IFERROR(VLOOKUP(A66,DATA_MATRIZ,105,FALSE),"")</f>
        <v>0</v>
      </c>
      <c r="S66" s="17">
        <f t="shared" ref="S66:S97" ca="1" si="53">IFERROR(VLOOKUP(A66,DATA_MATRIZ,106,FALSE),"")</f>
        <v>0</v>
      </c>
    </row>
    <row r="67" spans="1:19" ht="13.8">
      <c r="A67" s="10"/>
      <c r="B67" s="10" t="str">
        <f t="shared" si="36"/>
        <v/>
      </c>
      <c r="C67" s="11" t="str">
        <f t="shared" si="37"/>
        <v/>
      </c>
      <c r="D67" s="16" t="str">
        <f t="shared" si="38"/>
        <v/>
      </c>
      <c r="E67" s="16" t="str">
        <f t="shared" si="39"/>
        <v/>
      </c>
      <c r="F67" s="16" t="str">
        <f t="shared" si="40"/>
        <v/>
      </c>
      <c r="G67" s="16" t="str">
        <f t="shared" si="41"/>
        <v/>
      </c>
      <c r="H67" s="16" t="str">
        <f t="shared" si="42"/>
        <v/>
      </c>
      <c r="I67" s="16" t="str">
        <f t="shared" si="43"/>
        <v/>
      </c>
      <c r="J67" s="16" t="str">
        <f t="shared" si="44"/>
        <v/>
      </c>
      <c r="K67" s="16" t="str">
        <f t="shared" si="45"/>
        <v/>
      </c>
      <c r="L67" s="16" t="str">
        <f t="shared" si="46"/>
        <v/>
      </c>
      <c r="M67" s="16" t="str">
        <f t="shared" si="47"/>
        <v/>
      </c>
      <c r="N67" s="16" t="str">
        <f t="shared" si="48"/>
        <v/>
      </c>
      <c r="O67" s="16" t="str">
        <f t="shared" si="49"/>
        <v/>
      </c>
      <c r="P67" s="16" t="str">
        <f t="shared" si="50"/>
        <v/>
      </c>
      <c r="Q67" s="16" t="str">
        <f t="shared" si="51"/>
        <v/>
      </c>
      <c r="R67" s="16" t="str">
        <f t="shared" si="52"/>
        <v/>
      </c>
      <c r="S67" s="17" t="str">
        <f t="shared" si="53"/>
        <v/>
      </c>
    </row>
    <row r="68" spans="1:19" ht="13.8">
      <c r="A68" s="10"/>
      <c r="B68" s="10" t="str">
        <f t="shared" si="36"/>
        <v/>
      </c>
      <c r="C68" s="11" t="str">
        <f t="shared" si="37"/>
        <v/>
      </c>
      <c r="D68" s="16" t="str">
        <f t="shared" si="38"/>
        <v/>
      </c>
      <c r="E68" s="16" t="str">
        <f t="shared" si="39"/>
        <v/>
      </c>
      <c r="F68" s="16" t="str">
        <f t="shared" si="40"/>
        <v/>
      </c>
      <c r="G68" s="16" t="str">
        <f t="shared" si="41"/>
        <v/>
      </c>
      <c r="H68" s="16" t="str">
        <f t="shared" si="42"/>
        <v/>
      </c>
      <c r="I68" s="16" t="str">
        <f t="shared" si="43"/>
        <v/>
      </c>
      <c r="J68" s="16" t="str">
        <f t="shared" si="44"/>
        <v/>
      </c>
      <c r="K68" s="16" t="str">
        <f t="shared" si="45"/>
        <v/>
      </c>
      <c r="L68" s="16" t="str">
        <f t="shared" si="46"/>
        <v/>
      </c>
      <c r="M68" s="16" t="str">
        <f t="shared" si="47"/>
        <v/>
      </c>
      <c r="N68" s="16" t="str">
        <f t="shared" si="48"/>
        <v/>
      </c>
      <c r="O68" s="16" t="str">
        <f t="shared" si="49"/>
        <v/>
      </c>
      <c r="P68" s="16" t="str">
        <f t="shared" si="50"/>
        <v/>
      </c>
      <c r="Q68" s="16" t="str">
        <f t="shared" si="51"/>
        <v/>
      </c>
      <c r="R68" s="16" t="str">
        <f t="shared" si="52"/>
        <v/>
      </c>
      <c r="S68" s="17" t="str">
        <f t="shared" si="53"/>
        <v/>
      </c>
    </row>
    <row r="69" spans="1:19" ht="41.4">
      <c r="A69" s="10">
        <f ca="1">IFERROR(__xludf.DUMMYFUNCTION("""COMPUTED_VALUE"""),68)</f>
        <v>68</v>
      </c>
      <c r="B69" s="10" t="str">
        <f t="shared" ca="1" si="36"/>
        <v>Tercer foro virtual con Servidores Públicos para la formulación del PDD - DASCD/SDP</v>
      </c>
      <c r="C69" s="11">
        <f t="shared" ca="1" si="37"/>
        <v>45357</v>
      </c>
      <c r="D69" s="16">
        <f t="shared" ca="1" si="38"/>
        <v>0</v>
      </c>
      <c r="E69" s="16">
        <f t="shared" ca="1" si="39"/>
        <v>0</v>
      </c>
      <c r="F69" s="16">
        <f t="shared" ca="1" si="40"/>
        <v>0</v>
      </c>
      <c r="G69" s="16">
        <f t="shared" ca="1" si="41"/>
        <v>0</v>
      </c>
      <c r="H69" s="16">
        <f t="shared" ca="1" si="42"/>
        <v>0</v>
      </c>
      <c r="I69" s="16">
        <f t="shared" ca="1" si="43"/>
        <v>0</v>
      </c>
      <c r="J69" s="16">
        <f t="shared" ca="1" si="44"/>
        <v>0</v>
      </c>
      <c r="K69" s="16">
        <f t="shared" ca="1" si="45"/>
        <v>0</v>
      </c>
      <c r="L69" s="16">
        <f t="shared" ca="1" si="46"/>
        <v>0</v>
      </c>
      <c r="M69" s="16">
        <f t="shared" ca="1" si="47"/>
        <v>0</v>
      </c>
      <c r="N69" s="16">
        <f t="shared" ca="1" si="48"/>
        <v>0</v>
      </c>
      <c r="O69" s="16">
        <f t="shared" ca="1" si="49"/>
        <v>0</v>
      </c>
      <c r="P69" s="16">
        <f t="shared" ca="1" si="50"/>
        <v>0</v>
      </c>
      <c r="Q69" s="16">
        <f t="shared" ca="1" si="51"/>
        <v>0</v>
      </c>
      <c r="R69" s="16">
        <f t="shared" ca="1" si="52"/>
        <v>0</v>
      </c>
      <c r="S69" s="17">
        <f t="shared" ca="1" si="53"/>
        <v>0</v>
      </c>
    </row>
    <row r="70" spans="1:19" ht="13.8">
      <c r="A70" s="10">
        <f ca="1">IFERROR(__xludf.DUMMYFUNCTION("""COMPUTED_VALUE"""),69)</f>
        <v>69</v>
      </c>
      <c r="B70" s="10" t="str">
        <f t="shared" ca="1" si="36"/>
        <v>CLIP Rafael Uribe Uribe</v>
      </c>
      <c r="C70" s="11">
        <f t="shared" ca="1" si="37"/>
        <v>45357</v>
      </c>
      <c r="D70" s="16">
        <f t="shared" ca="1" si="38"/>
        <v>0</v>
      </c>
      <c r="E70" s="16">
        <f t="shared" ca="1" si="39"/>
        <v>0</v>
      </c>
      <c r="F70" s="16">
        <f t="shared" ca="1" si="40"/>
        <v>0</v>
      </c>
      <c r="G70" s="16">
        <f t="shared" ca="1" si="41"/>
        <v>0</v>
      </c>
      <c r="H70" s="16">
        <f t="shared" ca="1" si="42"/>
        <v>0</v>
      </c>
      <c r="I70" s="16">
        <f t="shared" ca="1" si="43"/>
        <v>0</v>
      </c>
      <c r="J70" s="16">
        <f t="shared" ca="1" si="44"/>
        <v>0</v>
      </c>
      <c r="K70" s="16">
        <f t="shared" ca="1" si="45"/>
        <v>0</v>
      </c>
      <c r="L70" s="16">
        <f t="shared" ca="1" si="46"/>
        <v>0</v>
      </c>
      <c r="M70" s="16">
        <f t="shared" ca="1" si="47"/>
        <v>0</v>
      </c>
      <c r="N70" s="16">
        <f t="shared" ca="1" si="48"/>
        <v>0</v>
      </c>
      <c r="O70" s="16">
        <f t="shared" ca="1" si="49"/>
        <v>0</v>
      </c>
      <c r="P70" s="16">
        <f t="shared" ca="1" si="50"/>
        <v>0</v>
      </c>
      <c r="Q70" s="16">
        <f t="shared" ca="1" si="51"/>
        <v>0</v>
      </c>
      <c r="R70" s="16">
        <f t="shared" ca="1" si="52"/>
        <v>0</v>
      </c>
      <c r="S70" s="17">
        <f t="shared" ca="1" si="53"/>
        <v>0</v>
      </c>
    </row>
    <row r="71" spans="1:19" ht="27.6">
      <c r="A71" s="10">
        <f ca="1">IFERROR(__xludf.DUMMYFUNCTION("""COMPUTED_VALUE"""),70)</f>
        <v>70</v>
      </c>
      <c r="B71" s="10" t="str">
        <f t="shared" ca="1" si="36"/>
        <v>Dialogo Ciudadano para la Construcción del PDD - UPL Bosa</v>
      </c>
      <c r="C71" s="11">
        <f t="shared" ca="1" si="37"/>
        <v>45357</v>
      </c>
      <c r="D71" s="16">
        <f t="shared" ca="1" si="38"/>
        <v>0</v>
      </c>
      <c r="E71" s="16">
        <f t="shared" ca="1" si="39"/>
        <v>0</v>
      </c>
      <c r="F71" s="16">
        <f t="shared" ca="1" si="40"/>
        <v>0</v>
      </c>
      <c r="G71" s="16">
        <f t="shared" ca="1" si="41"/>
        <v>0</v>
      </c>
      <c r="H71" s="16">
        <f t="shared" ca="1" si="42"/>
        <v>0</v>
      </c>
      <c r="I71" s="16">
        <f t="shared" ca="1" si="43"/>
        <v>0</v>
      </c>
      <c r="J71" s="16">
        <f t="shared" ca="1" si="44"/>
        <v>0</v>
      </c>
      <c r="K71" s="16">
        <f t="shared" ca="1" si="45"/>
        <v>0</v>
      </c>
      <c r="L71" s="16">
        <f t="shared" ca="1" si="46"/>
        <v>0</v>
      </c>
      <c r="M71" s="16">
        <f t="shared" ca="1" si="47"/>
        <v>0</v>
      </c>
      <c r="N71" s="16">
        <f t="shared" ca="1" si="48"/>
        <v>0</v>
      </c>
      <c r="O71" s="16">
        <f t="shared" ca="1" si="49"/>
        <v>0</v>
      </c>
      <c r="P71" s="16">
        <f t="shared" ca="1" si="50"/>
        <v>0</v>
      </c>
      <c r="Q71" s="16">
        <f t="shared" ca="1" si="51"/>
        <v>0</v>
      </c>
      <c r="R71" s="16">
        <f t="shared" ca="1" si="52"/>
        <v>0</v>
      </c>
      <c r="S71" s="17">
        <f t="shared" ca="1" si="53"/>
        <v>0</v>
      </c>
    </row>
    <row r="72" spans="1:19" ht="13.8">
      <c r="A72" s="10"/>
      <c r="B72" s="10" t="str">
        <f t="shared" si="36"/>
        <v/>
      </c>
      <c r="C72" s="11" t="str">
        <f t="shared" si="37"/>
        <v/>
      </c>
      <c r="D72" s="16" t="str">
        <f t="shared" si="38"/>
        <v/>
      </c>
      <c r="E72" s="16" t="str">
        <f t="shared" si="39"/>
        <v/>
      </c>
      <c r="F72" s="16" t="str">
        <f t="shared" si="40"/>
        <v/>
      </c>
      <c r="G72" s="16" t="str">
        <f t="shared" si="41"/>
        <v/>
      </c>
      <c r="H72" s="16" t="str">
        <f t="shared" si="42"/>
        <v/>
      </c>
      <c r="I72" s="16" t="str">
        <f t="shared" si="43"/>
        <v/>
      </c>
      <c r="J72" s="16" t="str">
        <f t="shared" si="44"/>
        <v/>
      </c>
      <c r="K72" s="16" t="str">
        <f t="shared" si="45"/>
        <v/>
      </c>
      <c r="L72" s="16" t="str">
        <f t="shared" si="46"/>
        <v/>
      </c>
      <c r="M72" s="16" t="str">
        <f t="shared" si="47"/>
        <v/>
      </c>
      <c r="N72" s="16" t="str">
        <f t="shared" si="48"/>
        <v/>
      </c>
      <c r="O72" s="16" t="str">
        <f t="shared" si="49"/>
        <v/>
      </c>
      <c r="P72" s="16" t="str">
        <f t="shared" si="50"/>
        <v/>
      </c>
      <c r="Q72" s="16" t="str">
        <f t="shared" si="51"/>
        <v/>
      </c>
      <c r="R72" s="16" t="str">
        <f t="shared" si="52"/>
        <v/>
      </c>
      <c r="S72" s="17" t="str">
        <f t="shared" si="53"/>
        <v/>
      </c>
    </row>
    <row r="73" spans="1:19" ht="27.6">
      <c r="A73" s="10">
        <f ca="1">IFERROR(__xludf.DUMMYFUNCTION("""COMPUTED_VALUE"""),72)</f>
        <v>72</v>
      </c>
      <c r="B73" s="10" t="str">
        <f t="shared" ca="1" si="36"/>
        <v>Comité Coordinador Intersectorial de Participación PDD</v>
      </c>
      <c r="C73" s="11">
        <f t="shared" ca="1" si="37"/>
        <v>45358</v>
      </c>
      <c r="D73" s="16">
        <f t="shared" ca="1" si="38"/>
        <v>0</v>
      </c>
      <c r="E73" s="16">
        <f t="shared" ca="1" si="39"/>
        <v>0</v>
      </c>
      <c r="F73" s="16">
        <f t="shared" ca="1" si="40"/>
        <v>0</v>
      </c>
      <c r="G73" s="16">
        <f t="shared" ca="1" si="41"/>
        <v>0</v>
      </c>
      <c r="H73" s="16">
        <f t="shared" ca="1" si="42"/>
        <v>0</v>
      </c>
      <c r="I73" s="16">
        <f t="shared" ca="1" si="43"/>
        <v>0</v>
      </c>
      <c r="J73" s="16">
        <f t="shared" ca="1" si="44"/>
        <v>0</v>
      </c>
      <c r="K73" s="16">
        <f t="shared" ca="1" si="45"/>
        <v>0</v>
      </c>
      <c r="L73" s="16">
        <f t="shared" ca="1" si="46"/>
        <v>0</v>
      </c>
      <c r="M73" s="16">
        <f t="shared" ca="1" si="47"/>
        <v>0</v>
      </c>
      <c r="N73" s="16">
        <f t="shared" ca="1" si="48"/>
        <v>0</v>
      </c>
      <c r="O73" s="16">
        <f t="shared" ca="1" si="49"/>
        <v>0</v>
      </c>
      <c r="P73" s="16">
        <f t="shared" ca="1" si="50"/>
        <v>0</v>
      </c>
      <c r="Q73" s="16">
        <f t="shared" ca="1" si="51"/>
        <v>0</v>
      </c>
      <c r="R73" s="16">
        <f t="shared" ca="1" si="52"/>
        <v>0</v>
      </c>
      <c r="S73" s="17">
        <f t="shared" ca="1" si="53"/>
        <v>0</v>
      </c>
    </row>
    <row r="74" spans="1:19" ht="13.8">
      <c r="A74" s="10">
        <f ca="1">IFERROR(__xludf.DUMMYFUNCTION("""COMPUTED_VALUE"""),73)</f>
        <v>73</v>
      </c>
      <c r="B74" s="10" t="str">
        <f t="shared" ca="1" si="36"/>
        <v>CLIP La Candelaria</v>
      </c>
      <c r="C74" s="11">
        <f t="shared" ca="1" si="37"/>
        <v>45358</v>
      </c>
      <c r="D74" s="16">
        <f t="shared" ca="1" si="38"/>
        <v>0</v>
      </c>
      <c r="E74" s="16">
        <f t="shared" ca="1" si="39"/>
        <v>0</v>
      </c>
      <c r="F74" s="16">
        <f t="shared" ca="1" si="40"/>
        <v>0</v>
      </c>
      <c r="G74" s="16">
        <f t="shared" ca="1" si="41"/>
        <v>0</v>
      </c>
      <c r="H74" s="16">
        <f t="shared" ca="1" si="42"/>
        <v>0</v>
      </c>
      <c r="I74" s="16">
        <f t="shared" ca="1" si="43"/>
        <v>0</v>
      </c>
      <c r="J74" s="16">
        <f t="shared" ca="1" si="44"/>
        <v>0</v>
      </c>
      <c r="K74" s="16">
        <f t="shared" ca="1" si="45"/>
        <v>0</v>
      </c>
      <c r="L74" s="16">
        <f t="shared" ca="1" si="46"/>
        <v>0</v>
      </c>
      <c r="M74" s="16">
        <f t="shared" ca="1" si="47"/>
        <v>0</v>
      </c>
      <c r="N74" s="16">
        <f t="shared" ca="1" si="48"/>
        <v>0</v>
      </c>
      <c r="O74" s="16">
        <f t="shared" ca="1" si="49"/>
        <v>0</v>
      </c>
      <c r="P74" s="16">
        <f t="shared" ca="1" si="50"/>
        <v>0</v>
      </c>
      <c r="Q74" s="16">
        <f t="shared" ca="1" si="51"/>
        <v>0</v>
      </c>
      <c r="R74" s="16">
        <f t="shared" ca="1" si="52"/>
        <v>0</v>
      </c>
      <c r="S74" s="17">
        <f t="shared" ca="1" si="53"/>
        <v>0</v>
      </c>
    </row>
    <row r="75" spans="1:19" ht="41.4">
      <c r="A75" s="10">
        <f ca="1">IFERROR(__xludf.DUMMYFUNCTION("""COMPUTED_VALUE"""),74)</f>
        <v>74</v>
      </c>
      <c r="B75" s="10" t="str">
        <f t="shared" ca="1" si="36"/>
        <v>Cuarto foro virtual con Servidores Públicos para la formulación del PDD - DASCD/SDP</v>
      </c>
      <c r="C75" s="11">
        <f t="shared" ca="1" si="37"/>
        <v>45358</v>
      </c>
      <c r="D75" s="16">
        <f t="shared" ca="1" si="38"/>
        <v>0</v>
      </c>
      <c r="E75" s="16">
        <f t="shared" ca="1" si="39"/>
        <v>0</v>
      </c>
      <c r="F75" s="16">
        <f t="shared" ca="1" si="40"/>
        <v>0</v>
      </c>
      <c r="G75" s="16">
        <f t="shared" ca="1" si="41"/>
        <v>0</v>
      </c>
      <c r="H75" s="16">
        <f t="shared" ca="1" si="42"/>
        <v>0</v>
      </c>
      <c r="I75" s="16">
        <f t="shared" ca="1" si="43"/>
        <v>0</v>
      </c>
      <c r="J75" s="16">
        <f t="shared" ca="1" si="44"/>
        <v>0</v>
      </c>
      <c r="K75" s="16">
        <f t="shared" ca="1" si="45"/>
        <v>0</v>
      </c>
      <c r="L75" s="16">
        <f t="shared" ca="1" si="46"/>
        <v>0</v>
      </c>
      <c r="M75" s="16">
        <f t="shared" ca="1" si="47"/>
        <v>0</v>
      </c>
      <c r="N75" s="16">
        <f t="shared" ca="1" si="48"/>
        <v>0</v>
      </c>
      <c r="O75" s="16">
        <f t="shared" ca="1" si="49"/>
        <v>0</v>
      </c>
      <c r="P75" s="16">
        <f t="shared" ca="1" si="50"/>
        <v>0</v>
      </c>
      <c r="Q75" s="16">
        <f t="shared" ca="1" si="51"/>
        <v>0</v>
      </c>
      <c r="R75" s="16">
        <f t="shared" ca="1" si="52"/>
        <v>0</v>
      </c>
      <c r="S75" s="17">
        <f t="shared" ca="1" si="53"/>
        <v>0</v>
      </c>
    </row>
    <row r="76" spans="1:19" ht="27.6">
      <c r="A76" s="10">
        <f ca="1">IFERROR(__xludf.DUMMYFUNCTION("""COMPUTED_VALUE"""),75)</f>
        <v>75</v>
      </c>
      <c r="B76" s="10" t="str">
        <f t="shared" ca="1" si="36"/>
        <v>Socialización estrategia PDD - Consejo Distrital de Sabios y Sabias</v>
      </c>
      <c r="C76" s="11">
        <f t="shared" ca="1" si="37"/>
        <v>45358</v>
      </c>
      <c r="D76" s="16">
        <f t="shared" ca="1" si="38"/>
        <v>0</v>
      </c>
      <c r="E76" s="16">
        <f t="shared" ca="1" si="39"/>
        <v>0</v>
      </c>
      <c r="F76" s="16">
        <f t="shared" ca="1" si="40"/>
        <v>0</v>
      </c>
      <c r="G76" s="16">
        <f t="shared" ca="1" si="41"/>
        <v>0</v>
      </c>
      <c r="H76" s="16">
        <f t="shared" ca="1" si="42"/>
        <v>0</v>
      </c>
      <c r="I76" s="16">
        <f t="shared" ca="1" si="43"/>
        <v>0</v>
      </c>
      <c r="J76" s="16">
        <f t="shared" ca="1" si="44"/>
        <v>0</v>
      </c>
      <c r="K76" s="16">
        <f t="shared" ca="1" si="45"/>
        <v>0</v>
      </c>
      <c r="L76" s="16">
        <f t="shared" ca="1" si="46"/>
        <v>0</v>
      </c>
      <c r="M76" s="16">
        <f t="shared" ca="1" si="47"/>
        <v>0</v>
      </c>
      <c r="N76" s="16">
        <f t="shared" ca="1" si="48"/>
        <v>0</v>
      </c>
      <c r="O76" s="16">
        <f t="shared" ca="1" si="49"/>
        <v>0</v>
      </c>
      <c r="P76" s="16">
        <f t="shared" ca="1" si="50"/>
        <v>0</v>
      </c>
      <c r="Q76" s="16">
        <f t="shared" ca="1" si="51"/>
        <v>0</v>
      </c>
      <c r="R76" s="16">
        <f t="shared" ca="1" si="52"/>
        <v>0</v>
      </c>
      <c r="S76" s="17">
        <f t="shared" ca="1" si="53"/>
        <v>0</v>
      </c>
    </row>
    <row r="77" spans="1:19" ht="13.8">
      <c r="A77" s="10"/>
      <c r="B77" s="10" t="str">
        <f t="shared" si="36"/>
        <v/>
      </c>
      <c r="C77" s="11" t="str">
        <f t="shared" si="37"/>
        <v/>
      </c>
      <c r="D77" s="16" t="str">
        <f t="shared" si="38"/>
        <v/>
      </c>
      <c r="E77" s="16" t="str">
        <f t="shared" si="39"/>
        <v/>
      </c>
      <c r="F77" s="16" t="str">
        <f t="shared" si="40"/>
        <v/>
      </c>
      <c r="G77" s="16" t="str">
        <f t="shared" si="41"/>
        <v/>
      </c>
      <c r="H77" s="16" t="str">
        <f t="shared" si="42"/>
        <v/>
      </c>
      <c r="I77" s="16" t="str">
        <f t="shared" si="43"/>
        <v/>
      </c>
      <c r="J77" s="16" t="str">
        <f t="shared" si="44"/>
        <v/>
      </c>
      <c r="K77" s="16" t="str">
        <f t="shared" si="45"/>
        <v/>
      </c>
      <c r="L77" s="16" t="str">
        <f t="shared" si="46"/>
        <v/>
      </c>
      <c r="M77" s="16" t="str">
        <f t="shared" si="47"/>
        <v/>
      </c>
      <c r="N77" s="16" t="str">
        <f t="shared" si="48"/>
        <v/>
      </c>
      <c r="O77" s="16" t="str">
        <f t="shared" si="49"/>
        <v/>
      </c>
      <c r="P77" s="16" t="str">
        <f t="shared" si="50"/>
        <v/>
      </c>
      <c r="Q77" s="16" t="str">
        <f t="shared" si="51"/>
        <v/>
      </c>
      <c r="R77" s="16" t="str">
        <f t="shared" si="52"/>
        <v/>
      </c>
      <c r="S77" s="17" t="str">
        <f t="shared" si="53"/>
        <v/>
      </c>
    </row>
    <row r="78" spans="1:19" ht="13.8">
      <c r="A78" s="10"/>
      <c r="B78" s="10" t="str">
        <f t="shared" si="36"/>
        <v/>
      </c>
      <c r="C78" s="11" t="str">
        <f t="shared" si="37"/>
        <v/>
      </c>
      <c r="D78" s="16" t="str">
        <f t="shared" si="38"/>
        <v/>
      </c>
      <c r="E78" s="16" t="str">
        <f t="shared" si="39"/>
        <v/>
      </c>
      <c r="F78" s="16" t="str">
        <f t="shared" si="40"/>
        <v/>
      </c>
      <c r="G78" s="16" t="str">
        <f t="shared" si="41"/>
        <v/>
      </c>
      <c r="H78" s="16" t="str">
        <f t="shared" si="42"/>
        <v/>
      </c>
      <c r="I78" s="16" t="str">
        <f t="shared" si="43"/>
        <v/>
      </c>
      <c r="J78" s="16" t="str">
        <f t="shared" si="44"/>
        <v/>
      </c>
      <c r="K78" s="16" t="str">
        <f t="shared" si="45"/>
        <v/>
      </c>
      <c r="L78" s="16" t="str">
        <f t="shared" si="46"/>
        <v/>
      </c>
      <c r="M78" s="16" t="str">
        <f t="shared" si="47"/>
        <v/>
      </c>
      <c r="N78" s="16" t="str">
        <f t="shared" si="48"/>
        <v/>
      </c>
      <c r="O78" s="16" t="str">
        <f t="shared" si="49"/>
        <v/>
      </c>
      <c r="P78" s="16" t="str">
        <f t="shared" si="50"/>
        <v/>
      </c>
      <c r="Q78" s="16" t="str">
        <f t="shared" si="51"/>
        <v/>
      </c>
      <c r="R78" s="16" t="str">
        <f t="shared" si="52"/>
        <v/>
      </c>
      <c r="S78" s="17" t="str">
        <f t="shared" si="53"/>
        <v/>
      </c>
    </row>
    <row r="79" spans="1:19" ht="27.6">
      <c r="A79" s="10">
        <f ca="1">IFERROR(__xludf.DUMMYFUNCTION("""COMPUTED_VALUE"""),78)</f>
        <v>78</v>
      </c>
      <c r="B79" s="10" t="str">
        <f t="shared" ca="1" si="36"/>
        <v>Reunión de aclaración - Vacancias Víctimas CTPD</v>
      </c>
      <c r="C79" s="11">
        <f t="shared" ca="1" si="37"/>
        <v>45358</v>
      </c>
      <c r="D79" s="16">
        <f t="shared" ca="1" si="38"/>
        <v>0</v>
      </c>
      <c r="E79" s="16">
        <f t="shared" ca="1" si="39"/>
        <v>0</v>
      </c>
      <c r="F79" s="16">
        <f t="shared" ca="1" si="40"/>
        <v>0</v>
      </c>
      <c r="G79" s="16">
        <f t="shared" ca="1" si="41"/>
        <v>0</v>
      </c>
      <c r="H79" s="16">
        <f t="shared" ca="1" si="42"/>
        <v>0</v>
      </c>
      <c r="I79" s="16">
        <f t="shared" ca="1" si="43"/>
        <v>0</v>
      </c>
      <c r="J79" s="16">
        <f t="shared" ca="1" si="44"/>
        <v>0</v>
      </c>
      <c r="K79" s="16">
        <f t="shared" ca="1" si="45"/>
        <v>0</v>
      </c>
      <c r="L79" s="16">
        <f t="shared" ca="1" si="46"/>
        <v>0</v>
      </c>
      <c r="M79" s="16">
        <f t="shared" ca="1" si="47"/>
        <v>0</v>
      </c>
      <c r="N79" s="16">
        <f t="shared" ca="1" si="48"/>
        <v>0</v>
      </c>
      <c r="O79" s="16">
        <f t="shared" ca="1" si="49"/>
        <v>0</v>
      </c>
      <c r="P79" s="16">
        <f t="shared" ca="1" si="50"/>
        <v>0</v>
      </c>
      <c r="Q79" s="16">
        <f t="shared" ca="1" si="51"/>
        <v>0</v>
      </c>
      <c r="R79" s="16">
        <f t="shared" ca="1" si="52"/>
        <v>0</v>
      </c>
      <c r="S79" s="17">
        <f t="shared" ca="1" si="53"/>
        <v>0</v>
      </c>
    </row>
    <row r="80" spans="1:19" ht="13.8">
      <c r="A80" s="10">
        <f ca="1">IFERROR(__xludf.DUMMYFUNCTION("""COMPUTED_VALUE"""),79)</f>
        <v>79</v>
      </c>
      <c r="B80" s="10" t="str">
        <f t="shared" ca="1" si="36"/>
        <v>CLIP San Cristóbal</v>
      </c>
      <c r="C80" s="11">
        <f t="shared" ca="1" si="37"/>
        <v>45358</v>
      </c>
      <c r="D80" s="16">
        <f t="shared" ca="1" si="38"/>
        <v>0</v>
      </c>
      <c r="E80" s="16">
        <f t="shared" ca="1" si="39"/>
        <v>0</v>
      </c>
      <c r="F80" s="16">
        <f t="shared" ca="1" si="40"/>
        <v>0</v>
      </c>
      <c r="G80" s="16">
        <f t="shared" ca="1" si="41"/>
        <v>0</v>
      </c>
      <c r="H80" s="16">
        <f t="shared" ca="1" si="42"/>
        <v>0</v>
      </c>
      <c r="I80" s="16">
        <f t="shared" ca="1" si="43"/>
        <v>0</v>
      </c>
      <c r="J80" s="16">
        <f t="shared" ca="1" si="44"/>
        <v>0</v>
      </c>
      <c r="K80" s="16">
        <f t="shared" ca="1" si="45"/>
        <v>0</v>
      </c>
      <c r="L80" s="16">
        <f t="shared" ca="1" si="46"/>
        <v>0</v>
      </c>
      <c r="M80" s="16">
        <f t="shared" ca="1" si="47"/>
        <v>0</v>
      </c>
      <c r="N80" s="16">
        <f t="shared" ca="1" si="48"/>
        <v>0</v>
      </c>
      <c r="O80" s="16">
        <f t="shared" ca="1" si="49"/>
        <v>0</v>
      </c>
      <c r="P80" s="16">
        <f t="shared" ca="1" si="50"/>
        <v>0</v>
      </c>
      <c r="Q80" s="16">
        <f t="shared" ca="1" si="51"/>
        <v>0</v>
      </c>
      <c r="R80" s="16">
        <f t="shared" ca="1" si="52"/>
        <v>0</v>
      </c>
      <c r="S80" s="17">
        <f t="shared" ca="1" si="53"/>
        <v>0</v>
      </c>
    </row>
    <row r="81" spans="1:19" ht="13.8">
      <c r="A81" s="10">
        <f ca="1">IFERROR(__xludf.DUMMYFUNCTION("""COMPUTED_VALUE"""),80)</f>
        <v>80</v>
      </c>
      <c r="B81" s="10" t="str">
        <f t="shared" ca="1" si="36"/>
        <v>CLIP Usaquén</v>
      </c>
      <c r="C81" s="11">
        <f t="shared" ca="1" si="37"/>
        <v>45358</v>
      </c>
      <c r="D81" s="16">
        <f t="shared" ca="1" si="38"/>
        <v>0</v>
      </c>
      <c r="E81" s="16">
        <f t="shared" ca="1" si="39"/>
        <v>0</v>
      </c>
      <c r="F81" s="16">
        <f t="shared" ca="1" si="40"/>
        <v>0</v>
      </c>
      <c r="G81" s="16">
        <f t="shared" ca="1" si="41"/>
        <v>0</v>
      </c>
      <c r="H81" s="16">
        <f t="shared" ca="1" si="42"/>
        <v>0</v>
      </c>
      <c r="I81" s="16">
        <f t="shared" ca="1" si="43"/>
        <v>0</v>
      </c>
      <c r="J81" s="16">
        <f t="shared" ca="1" si="44"/>
        <v>0</v>
      </c>
      <c r="K81" s="16">
        <f t="shared" ca="1" si="45"/>
        <v>0</v>
      </c>
      <c r="L81" s="16">
        <f t="shared" ca="1" si="46"/>
        <v>0</v>
      </c>
      <c r="M81" s="16">
        <f t="shared" ca="1" si="47"/>
        <v>0</v>
      </c>
      <c r="N81" s="16">
        <f t="shared" ca="1" si="48"/>
        <v>0</v>
      </c>
      <c r="O81" s="16">
        <f t="shared" ca="1" si="49"/>
        <v>0</v>
      </c>
      <c r="P81" s="16">
        <f t="shared" ca="1" si="50"/>
        <v>0</v>
      </c>
      <c r="Q81" s="16">
        <f t="shared" ca="1" si="51"/>
        <v>0</v>
      </c>
      <c r="R81" s="16">
        <f t="shared" ca="1" si="52"/>
        <v>0</v>
      </c>
      <c r="S81" s="17">
        <f t="shared" ca="1" si="53"/>
        <v>0</v>
      </c>
    </row>
    <row r="82" spans="1:19" ht="27.6">
      <c r="A82" s="10">
        <f ca="1">IFERROR(__xludf.DUMMYFUNCTION("""COMPUTED_VALUE"""),81)</f>
        <v>81</v>
      </c>
      <c r="B82" s="10" t="str">
        <f t="shared" ca="1" si="36"/>
        <v>Coordinación proceso de participación - ASOBARES</v>
      </c>
      <c r="C82" s="11">
        <f t="shared" ca="1" si="37"/>
        <v>45358</v>
      </c>
      <c r="D82" s="16">
        <f t="shared" ca="1" si="38"/>
        <v>0</v>
      </c>
      <c r="E82" s="16">
        <f t="shared" ca="1" si="39"/>
        <v>0</v>
      </c>
      <c r="F82" s="16">
        <f t="shared" ca="1" si="40"/>
        <v>0</v>
      </c>
      <c r="G82" s="16">
        <f t="shared" ca="1" si="41"/>
        <v>0</v>
      </c>
      <c r="H82" s="16">
        <f t="shared" ca="1" si="42"/>
        <v>0</v>
      </c>
      <c r="I82" s="16">
        <f t="shared" ca="1" si="43"/>
        <v>0</v>
      </c>
      <c r="J82" s="16">
        <f t="shared" ca="1" si="44"/>
        <v>0</v>
      </c>
      <c r="K82" s="16">
        <f t="shared" ca="1" si="45"/>
        <v>0</v>
      </c>
      <c r="L82" s="16">
        <f t="shared" ca="1" si="46"/>
        <v>0</v>
      </c>
      <c r="M82" s="16">
        <f t="shared" ca="1" si="47"/>
        <v>0</v>
      </c>
      <c r="N82" s="16">
        <f t="shared" ca="1" si="48"/>
        <v>0</v>
      </c>
      <c r="O82" s="16">
        <f t="shared" ca="1" si="49"/>
        <v>0</v>
      </c>
      <c r="P82" s="16">
        <f t="shared" ca="1" si="50"/>
        <v>0</v>
      </c>
      <c r="Q82" s="16">
        <f t="shared" ca="1" si="51"/>
        <v>0</v>
      </c>
      <c r="R82" s="16">
        <f t="shared" ca="1" si="52"/>
        <v>0</v>
      </c>
      <c r="S82" s="17">
        <f t="shared" ca="1" si="53"/>
        <v>0</v>
      </c>
    </row>
    <row r="83" spans="1:19" ht="41.4">
      <c r="A83" s="10">
        <f ca="1">IFERROR(__xludf.DUMMYFUNCTION("""COMPUTED_VALUE"""),82)</f>
        <v>82</v>
      </c>
      <c r="B83" s="10" t="str">
        <f t="shared" ca="1" si="36"/>
        <v>Dialogo Ciudadano para la Construcción del PDD - UPL Centro Histórico</v>
      </c>
      <c r="C83" s="11">
        <f t="shared" ca="1" si="37"/>
        <v>45358</v>
      </c>
      <c r="D83" s="16">
        <f t="shared" ca="1" si="38"/>
        <v>0</v>
      </c>
      <c r="E83" s="16">
        <f t="shared" ca="1" si="39"/>
        <v>0</v>
      </c>
      <c r="F83" s="16">
        <f t="shared" ca="1" si="40"/>
        <v>0</v>
      </c>
      <c r="G83" s="16">
        <f t="shared" ca="1" si="41"/>
        <v>0</v>
      </c>
      <c r="H83" s="16">
        <f t="shared" ca="1" si="42"/>
        <v>0</v>
      </c>
      <c r="I83" s="16">
        <f t="shared" ca="1" si="43"/>
        <v>0</v>
      </c>
      <c r="J83" s="16">
        <f t="shared" ca="1" si="44"/>
        <v>0</v>
      </c>
      <c r="K83" s="16">
        <f t="shared" ca="1" si="45"/>
        <v>0</v>
      </c>
      <c r="L83" s="16">
        <f t="shared" ca="1" si="46"/>
        <v>0</v>
      </c>
      <c r="M83" s="16">
        <f t="shared" ca="1" si="47"/>
        <v>0</v>
      </c>
      <c r="N83" s="16">
        <f t="shared" ca="1" si="48"/>
        <v>0</v>
      </c>
      <c r="O83" s="16">
        <f t="shared" ca="1" si="49"/>
        <v>0</v>
      </c>
      <c r="P83" s="16">
        <f t="shared" ca="1" si="50"/>
        <v>0</v>
      </c>
      <c r="Q83" s="16">
        <f t="shared" ca="1" si="51"/>
        <v>0</v>
      </c>
      <c r="R83" s="16">
        <f t="shared" ca="1" si="52"/>
        <v>0</v>
      </c>
      <c r="S83" s="17">
        <f t="shared" ca="1" si="53"/>
        <v>0</v>
      </c>
    </row>
    <row r="84" spans="1:19" ht="13.8">
      <c r="A84" s="10"/>
      <c r="B84" s="10" t="str">
        <f t="shared" si="36"/>
        <v/>
      </c>
      <c r="C84" s="11" t="str">
        <f t="shared" si="37"/>
        <v/>
      </c>
      <c r="D84" s="16" t="str">
        <f t="shared" si="38"/>
        <v/>
      </c>
      <c r="E84" s="16" t="str">
        <f t="shared" si="39"/>
        <v/>
      </c>
      <c r="F84" s="16" t="str">
        <f t="shared" si="40"/>
        <v/>
      </c>
      <c r="G84" s="16" t="str">
        <f t="shared" si="41"/>
        <v/>
      </c>
      <c r="H84" s="16" t="str">
        <f t="shared" si="42"/>
        <v/>
      </c>
      <c r="I84" s="16" t="str">
        <f t="shared" si="43"/>
        <v/>
      </c>
      <c r="J84" s="16" t="str">
        <f t="shared" si="44"/>
        <v/>
      </c>
      <c r="K84" s="16" t="str">
        <f t="shared" si="45"/>
        <v/>
      </c>
      <c r="L84" s="16" t="str">
        <f t="shared" si="46"/>
        <v/>
      </c>
      <c r="M84" s="16" t="str">
        <f t="shared" si="47"/>
        <v/>
      </c>
      <c r="N84" s="16" t="str">
        <f t="shared" si="48"/>
        <v/>
      </c>
      <c r="O84" s="16" t="str">
        <f t="shared" si="49"/>
        <v/>
      </c>
      <c r="P84" s="16" t="str">
        <f t="shared" si="50"/>
        <v/>
      </c>
      <c r="Q84" s="16" t="str">
        <f t="shared" si="51"/>
        <v/>
      </c>
      <c r="R84" s="16" t="str">
        <f t="shared" si="52"/>
        <v/>
      </c>
      <c r="S84" s="17" t="str">
        <f t="shared" si="53"/>
        <v/>
      </c>
    </row>
    <row r="85" spans="1:19" ht="13.8">
      <c r="A85" s="10">
        <f ca="1">IFERROR(__xludf.DUMMYFUNCTION("""COMPUTED_VALUE"""),84)</f>
        <v>84</v>
      </c>
      <c r="B85" s="10" t="str">
        <f t="shared" ca="1" si="36"/>
        <v>Plenaria Permanente - CTPD</v>
      </c>
      <c r="C85" s="11">
        <f t="shared" ca="1" si="37"/>
        <v>45358</v>
      </c>
      <c r="D85" s="16">
        <f t="shared" ca="1" si="38"/>
        <v>0</v>
      </c>
      <c r="E85" s="16">
        <f t="shared" ca="1" si="39"/>
        <v>0</v>
      </c>
      <c r="F85" s="16">
        <f t="shared" ca="1" si="40"/>
        <v>0</v>
      </c>
      <c r="G85" s="16">
        <f t="shared" ca="1" si="41"/>
        <v>0</v>
      </c>
      <c r="H85" s="16">
        <f t="shared" ca="1" si="42"/>
        <v>0</v>
      </c>
      <c r="I85" s="16">
        <f t="shared" ca="1" si="43"/>
        <v>0</v>
      </c>
      <c r="J85" s="16">
        <f t="shared" ca="1" si="44"/>
        <v>0</v>
      </c>
      <c r="K85" s="16">
        <f t="shared" ca="1" si="45"/>
        <v>0</v>
      </c>
      <c r="L85" s="16">
        <f t="shared" ca="1" si="46"/>
        <v>0</v>
      </c>
      <c r="M85" s="16">
        <f t="shared" ca="1" si="47"/>
        <v>0</v>
      </c>
      <c r="N85" s="16">
        <f t="shared" ca="1" si="48"/>
        <v>0</v>
      </c>
      <c r="O85" s="16">
        <f t="shared" ca="1" si="49"/>
        <v>0</v>
      </c>
      <c r="P85" s="16">
        <f t="shared" ca="1" si="50"/>
        <v>0</v>
      </c>
      <c r="Q85" s="16">
        <f t="shared" ca="1" si="51"/>
        <v>0</v>
      </c>
      <c r="R85" s="16">
        <f t="shared" ca="1" si="52"/>
        <v>0</v>
      </c>
      <c r="S85" s="17">
        <f t="shared" ca="1" si="53"/>
        <v>0</v>
      </c>
    </row>
    <row r="86" spans="1:19" ht="27.6">
      <c r="A86" s="10">
        <f ca="1">IFERROR(__xludf.DUMMYFUNCTION("""COMPUTED_VALUE"""),85)</f>
        <v>85</v>
      </c>
      <c r="B86" s="10" t="str">
        <f t="shared" ca="1" si="36"/>
        <v>Reunión de coordinación - ACODRES</v>
      </c>
      <c r="C86" s="11">
        <f t="shared" ca="1" si="37"/>
        <v>45359</v>
      </c>
      <c r="D86" s="16">
        <f t="shared" ca="1" si="38"/>
        <v>0</v>
      </c>
      <c r="E86" s="16">
        <f t="shared" ca="1" si="39"/>
        <v>0</v>
      </c>
      <c r="F86" s="16">
        <f t="shared" ca="1" si="40"/>
        <v>0</v>
      </c>
      <c r="G86" s="16">
        <f t="shared" ca="1" si="41"/>
        <v>0</v>
      </c>
      <c r="H86" s="16">
        <f t="shared" ca="1" si="42"/>
        <v>0</v>
      </c>
      <c r="I86" s="16">
        <f t="shared" ca="1" si="43"/>
        <v>0</v>
      </c>
      <c r="J86" s="16">
        <f t="shared" ca="1" si="44"/>
        <v>0</v>
      </c>
      <c r="K86" s="16">
        <f t="shared" ca="1" si="45"/>
        <v>0</v>
      </c>
      <c r="L86" s="16">
        <f t="shared" ca="1" si="46"/>
        <v>0</v>
      </c>
      <c r="M86" s="16">
        <f t="shared" ca="1" si="47"/>
        <v>0</v>
      </c>
      <c r="N86" s="16">
        <f t="shared" ca="1" si="48"/>
        <v>0</v>
      </c>
      <c r="O86" s="16">
        <f t="shared" ca="1" si="49"/>
        <v>0</v>
      </c>
      <c r="P86" s="16">
        <f t="shared" ca="1" si="50"/>
        <v>0</v>
      </c>
      <c r="Q86" s="16">
        <f t="shared" ca="1" si="51"/>
        <v>0</v>
      </c>
      <c r="R86" s="16">
        <f t="shared" ca="1" si="52"/>
        <v>0</v>
      </c>
      <c r="S86" s="17">
        <f t="shared" ca="1" si="53"/>
        <v>0</v>
      </c>
    </row>
    <row r="87" spans="1:19" ht="55.2">
      <c r="A87" s="10">
        <f ca="1">IFERROR(__xludf.DUMMYFUNCTION("""COMPUTED_VALUE"""),86)</f>
        <v>86</v>
      </c>
      <c r="B87" s="10" t="str">
        <f t="shared" ca="1" si="36"/>
        <v>Diálogo Ciudadano Poblacional para la Construcción del PDD - Discapacidad se articula para Caminar Segura por Bogotá</v>
      </c>
      <c r="C87" s="11">
        <f t="shared" ca="1" si="37"/>
        <v>45360</v>
      </c>
      <c r="D87" s="16">
        <f t="shared" ca="1" si="38"/>
        <v>0</v>
      </c>
      <c r="E87" s="16">
        <f t="shared" ca="1" si="39"/>
        <v>0</v>
      </c>
      <c r="F87" s="16">
        <f t="shared" ca="1" si="40"/>
        <v>0</v>
      </c>
      <c r="G87" s="16">
        <f t="shared" ca="1" si="41"/>
        <v>0</v>
      </c>
      <c r="H87" s="16">
        <f t="shared" ca="1" si="42"/>
        <v>0</v>
      </c>
      <c r="I87" s="16">
        <f t="shared" ca="1" si="43"/>
        <v>0</v>
      </c>
      <c r="J87" s="16">
        <f t="shared" ca="1" si="44"/>
        <v>0</v>
      </c>
      <c r="K87" s="16">
        <f t="shared" ca="1" si="45"/>
        <v>0</v>
      </c>
      <c r="L87" s="16">
        <f t="shared" ca="1" si="46"/>
        <v>0</v>
      </c>
      <c r="M87" s="16">
        <f t="shared" ca="1" si="47"/>
        <v>0</v>
      </c>
      <c r="N87" s="16">
        <f t="shared" ca="1" si="48"/>
        <v>0</v>
      </c>
      <c r="O87" s="16">
        <f t="shared" ca="1" si="49"/>
        <v>0</v>
      </c>
      <c r="P87" s="16">
        <f t="shared" ca="1" si="50"/>
        <v>0</v>
      </c>
      <c r="Q87" s="16">
        <f t="shared" ca="1" si="51"/>
        <v>0</v>
      </c>
      <c r="R87" s="16">
        <f t="shared" ca="1" si="52"/>
        <v>0</v>
      </c>
      <c r="S87" s="17">
        <f t="shared" ca="1" si="53"/>
        <v>0</v>
      </c>
    </row>
    <row r="88" spans="1:19" ht="27.6">
      <c r="A88" s="10">
        <f ca="1">IFERROR(__xludf.DUMMYFUNCTION("""COMPUTED_VALUE"""),87)</f>
        <v>87</v>
      </c>
      <c r="B88" s="10" t="str">
        <f t="shared" ca="1" si="36"/>
        <v>Dialogo Ciudadano para la Construcción del PDD - UPL Niza</v>
      </c>
      <c r="C88" s="11">
        <f t="shared" ca="1" si="37"/>
        <v>45360</v>
      </c>
      <c r="D88" s="16">
        <f t="shared" ca="1" si="38"/>
        <v>0</v>
      </c>
      <c r="E88" s="16">
        <f t="shared" ca="1" si="39"/>
        <v>0</v>
      </c>
      <c r="F88" s="16">
        <f t="shared" ca="1" si="40"/>
        <v>0</v>
      </c>
      <c r="G88" s="16">
        <f t="shared" ca="1" si="41"/>
        <v>0</v>
      </c>
      <c r="H88" s="16">
        <f t="shared" ca="1" si="42"/>
        <v>0</v>
      </c>
      <c r="I88" s="16">
        <f t="shared" ca="1" si="43"/>
        <v>0</v>
      </c>
      <c r="J88" s="16">
        <f t="shared" ca="1" si="44"/>
        <v>0</v>
      </c>
      <c r="K88" s="16">
        <f t="shared" ca="1" si="45"/>
        <v>0</v>
      </c>
      <c r="L88" s="16">
        <f t="shared" ca="1" si="46"/>
        <v>0</v>
      </c>
      <c r="M88" s="16">
        <f t="shared" ca="1" si="47"/>
        <v>0</v>
      </c>
      <c r="N88" s="16">
        <f t="shared" ca="1" si="48"/>
        <v>0</v>
      </c>
      <c r="O88" s="16">
        <f t="shared" ca="1" si="49"/>
        <v>0</v>
      </c>
      <c r="P88" s="16">
        <f t="shared" ca="1" si="50"/>
        <v>0</v>
      </c>
      <c r="Q88" s="16">
        <f t="shared" ca="1" si="51"/>
        <v>0</v>
      </c>
      <c r="R88" s="16">
        <f t="shared" ca="1" si="52"/>
        <v>0</v>
      </c>
      <c r="S88" s="17">
        <f t="shared" ca="1" si="53"/>
        <v>0</v>
      </c>
    </row>
    <row r="89" spans="1:19" ht="27.6">
      <c r="A89" s="10">
        <f ca="1">IFERROR(__xludf.DUMMYFUNCTION("""COMPUTED_VALUE"""),88)</f>
        <v>88</v>
      </c>
      <c r="B89" s="10" t="str">
        <f t="shared" ca="1" si="36"/>
        <v>Dialogo Ciudadano para la Construcción del PDD - UPL Tabora</v>
      </c>
      <c r="C89" s="11">
        <f t="shared" ca="1" si="37"/>
        <v>45360</v>
      </c>
      <c r="D89" s="16">
        <f t="shared" ca="1" si="38"/>
        <v>0</v>
      </c>
      <c r="E89" s="16">
        <f t="shared" ca="1" si="39"/>
        <v>0</v>
      </c>
      <c r="F89" s="16">
        <f t="shared" ca="1" si="40"/>
        <v>0</v>
      </c>
      <c r="G89" s="16">
        <f t="shared" ca="1" si="41"/>
        <v>0</v>
      </c>
      <c r="H89" s="16">
        <f t="shared" ca="1" si="42"/>
        <v>0</v>
      </c>
      <c r="I89" s="16">
        <f t="shared" ca="1" si="43"/>
        <v>0</v>
      </c>
      <c r="J89" s="16">
        <f t="shared" ca="1" si="44"/>
        <v>0</v>
      </c>
      <c r="K89" s="16">
        <f t="shared" ca="1" si="45"/>
        <v>0</v>
      </c>
      <c r="L89" s="16">
        <f t="shared" ca="1" si="46"/>
        <v>0</v>
      </c>
      <c r="M89" s="16">
        <f t="shared" ca="1" si="47"/>
        <v>0</v>
      </c>
      <c r="N89" s="16">
        <f t="shared" ca="1" si="48"/>
        <v>0</v>
      </c>
      <c r="O89" s="16">
        <f t="shared" ca="1" si="49"/>
        <v>0</v>
      </c>
      <c r="P89" s="16">
        <f t="shared" ca="1" si="50"/>
        <v>0</v>
      </c>
      <c r="Q89" s="16">
        <f t="shared" ca="1" si="51"/>
        <v>0</v>
      </c>
      <c r="R89" s="16">
        <f t="shared" ca="1" si="52"/>
        <v>0</v>
      </c>
      <c r="S89" s="17">
        <f t="shared" ca="1" si="53"/>
        <v>0</v>
      </c>
    </row>
    <row r="90" spans="1:19" ht="69">
      <c r="A90" s="10">
        <f ca="1">IFERROR(__xludf.DUMMYFUNCTION("""COMPUTED_VALUE"""),89)</f>
        <v>89</v>
      </c>
      <c r="B90" s="10" t="str">
        <f t="shared" ca="1" si="36"/>
        <v>Jornada Pégate al Plan: Pedagogía ciudadana para el manejo e implementación de la herramienta chatico - Ciclovía - Parque de Lourdes</v>
      </c>
      <c r="C90" s="11">
        <f t="shared" ca="1" si="37"/>
        <v>45361</v>
      </c>
      <c r="D90" s="16">
        <f t="shared" ca="1" si="38"/>
        <v>0</v>
      </c>
      <c r="E90" s="16">
        <f t="shared" ca="1" si="39"/>
        <v>0</v>
      </c>
      <c r="F90" s="16">
        <f t="shared" ca="1" si="40"/>
        <v>0</v>
      </c>
      <c r="G90" s="16">
        <f t="shared" ca="1" si="41"/>
        <v>0</v>
      </c>
      <c r="H90" s="16">
        <f t="shared" ca="1" si="42"/>
        <v>0</v>
      </c>
      <c r="I90" s="16">
        <f t="shared" ca="1" si="43"/>
        <v>0</v>
      </c>
      <c r="J90" s="16">
        <f t="shared" ca="1" si="44"/>
        <v>0</v>
      </c>
      <c r="K90" s="16">
        <f t="shared" ca="1" si="45"/>
        <v>0</v>
      </c>
      <c r="L90" s="16">
        <f t="shared" ca="1" si="46"/>
        <v>0</v>
      </c>
      <c r="M90" s="16">
        <f t="shared" ca="1" si="47"/>
        <v>0</v>
      </c>
      <c r="N90" s="16">
        <f t="shared" ca="1" si="48"/>
        <v>0</v>
      </c>
      <c r="O90" s="16">
        <f t="shared" ca="1" si="49"/>
        <v>0</v>
      </c>
      <c r="P90" s="16">
        <f t="shared" ca="1" si="50"/>
        <v>0</v>
      </c>
      <c r="Q90" s="16">
        <f t="shared" ca="1" si="51"/>
        <v>0</v>
      </c>
      <c r="R90" s="16">
        <f t="shared" ca="1" si="52"/>
        <v>0</v>
      </c>
      <c r="S90" s="17">
        <f t="shared" ca="1" si="53"/>
        <v>0</v>
      </c>
    </row>
    <row r="91" spans="1:19" ht="13.8">
      <c r="A91" s="10"/>
      <c r="B91" s="10" t="str">
        <f t="shared" si="36"/>
        <v/>
      </c>
      <c r="C91" s="11" t="str">
        <f t="shared" si="37"/>
        <v/>
      </c>
      <c r="D91" s="16" t="str">
        <f t="shared" si="38"/>
        <v/>
      </c>
      <c r="E91" s="16" t="str">
        <f t="shared" si="39"/>
        <v/>
      </c>
      <c r="F91" s="16" t="str">
        <f t="shared" si="40"/>
        <v/>
      </c>
      <c r="G91" s="16" t="str">
        <f t="shared" si="41"/>
        <v/>
      </c>
      <c r="H91" s="16" t="str">
        <f t="shared" si="42"/>
        <v/>
      </c>
      <c r="I91" s="16" t="str">
        <f t="shared" si="43"/>
        <v/>
      </c>
      <c r="J91" s="16" t="str">
        <f t="shared" si="44"/>
        <v/>
      </c>
      <c r="K91" s="16" t="str">
        <f t="shared" si="45"/>
        <v/>
      </c>
      <c r="L91" s="16" t="str">
        <f t="shared" si="46"/>
        <v/>
      </c>
      <c r="M91" s="16" t="str">
        <f t="shared" si="47"/>
        <v/>
      </c>
      <c r="N91" s="16" t="str">
        <f t="shared" si="48"/>
        <v/>
      </c>
      <c r="O91" s="16" t="str">
        <f t="shared" si="49"/>
        <v/>
      </c>
      <c r="P91" s="16" t="str">
        <f t="shared" si="50"/>
        <v/>
      </c>
      <c r="Q91" s="16" t="str">
        <f t="shared" si="51"/>
        <v/>
      </c>
      <c r="R91" s="16" t="str">
        <f t="shared" si="52"/>
        <v/>
      </c>
      <c r="S91" s="17" t="str">
        <f t="shared" si="53"/>
        <v/>
      </c>
    </row>
    <row r="92" spans="1:19" ht="13.8">
      <c r="A92" s="10"/>
      <c r="B92" s="10" t="str">
        <f t="shared" si="36"/>
        <v/>
      </c>
      <c r="C92" s="11" t="str">
        <f t="shared" si="37"/>
        <v/>
      </c>
      <c r="D92" s="16" t="str">
        <f t="shared" si="38"/>
        <v/>
      </c>
      <c r="E92" s="16" t="str">
        <f t="shared" si="39"/>
        <v/>
      </c>
      <c r="F92" s="16" t="str">
        <f t="shared" si="40"/>
        <v/>
      </c>
      <c r="G92" s="16" t="str">
        <f t="shared" si="41"/>
        <v/>
      </c>
      <c r="H92" s="16" t="str">
        <f t="shared" si="42"/>
        <v/>
      </c>
      <c r="I92" s="16" t="str">
        <f t="shared" si="43"/>
        <v/>
      </c>
      <c r="J92" s="16" t="str">
        <f t="shared" si="44"/>
        <v/>
      </c>
      <c r="K92" s="16" t="str">
        <f t="shared" si="45"/>
        <v/>
      </c>
      <c r="L92" s="16" t="str">
        <f t="shared" si="46"/>
        <v/>
      </c>
      <c r="M92" s="16" t="str">
        <f t="shared" si="47"/>
        <v/>
      </c>
      <c r="N92" s="16" t="str">
        <f t="shared" si="48"/>
        <v/>
      </c>
      <c r="O92" s="16" t="str">
        <f t="shared" si="49"/>
        <v/>
      </c>
      <c r="P92" s="16" t="str">
        <f t="shared" si="50"/>
        <v/>
      </c>
      <c r="Q92" s="16" t="str">
        <f t="shared" si="51"/>
        <v/>
      </c>
      <c r="R92" s="16" t="str">
        <f t="shared" si="52"/>
        <v/>
      </c>
      <c r="S92" s="17" t="str">
        <f t="shared" si="53"/>
        <v/>
      </c>
    </row>
    <row r="93" spans="1:19" ht="13.8">
      <c r="A93" s="10"/>
      <c r="B93" s="10" t="str">
        <f t="shared" si="36"/>
        <v/>
      </c>
      <c r="C93" s="11" t="str">
        <f t="shared" si="37"/>
        <v/>
      </c>
      <c r="D93" s="16" t="str">
        <f t="shared" si="38"/>
        <v/>
      </c>
      <c r="E93" s="16" t="str">
        <f t="shared" si="39"/>
        <v/>
      </c>
      <c r="F93" s="16" t="str">
        <f t="shared" si="40"/>
        <v/>
      </c>
      <c r="G93" s="16" t="str">
        <f t="shared" si="41"/>
        <v/>
      </c>
      <c r="H93" s="16" t="str">
        <f t="shared" si="42"/>
        <v/>
      </c>
      <c r="I93" s="16" t="str">
        <f t="shared" si="43"/>
        <v/>
      </c>
      <c r="J93" s="16" t="str">
        <f t="shared" si="44"/>
        <v/>
      </c>
      <c r="K93" s="16" t="str">
        <f t="shared" si="45"/>
        <v/>
      </c>
      <c r="L93" s="16" t="str">
        <f t="shared" si="46"/>
        <v/>
      </c>
      <c r="M93" s="16" t="str">
        <f t="shared" si="47"/>
        <v/>
      </c>
      <c r="N93" s="16" t="str">
        <f t="shared" si="48"/>
        <v/>
      </c>
      <c r="O93" s="16" t="str">
        <f t="shared" si="49"/>
        <v/>
      </c>
      <c r="P93" s="16" t="str">
        <f t="shared" si="50"/>
        <v/>
      </c>
      <c r="Q93" s="16" t="str">
        <f t="shared" si="51"/>
        <v/>
      </c>
      <c r="R93" s="16" t="str">
        <f t="shared" si="52"/>
        <v/>
      </c>
      <c r="S93" s="17" t="str">
        <f t="shared" si="53"/>
        <v/>
      </c>
    </row>
    <row r="94" spans="1:19" ht="27.6">
      <c r="A94" s="10">
        <f ca="1">IFERROR(__xludf.DUMMYFUNCTION("""COMPUTED_VALUE"""),93)</f>
        <v>93</v>
      </c>
      <c r="B94" s="10" t="str">
        <f t="shared" ca="1" si="36"/>
        <v>CLIP extraordinaria Rafael Uribe Uribe</v>
      </c>
      <c r="C94" s="11">
        <f t="shared" ca="1" si="37"/>
        <v>45362</v>
      </c>
      <c r="D94" s="16">
        <f t="shared" ca="1" si="38"/>
        <v>0</v>
      </c>
      <c r="E94" s="16">
        <f t="shared" ca="1" si="39"/>
        <v>0</v>
      </c>
      <c r="F94" s="16">
        <f t="shared" ca="1" si="40"/>
        <v>0</v>
      </c>
      <c r="G94" s="16">
        <f t="shared" ca="1" si="41"/>
        <v>0</v>
      </c>
      <c r="H94" s="16">
        <f t="shared" ca="1" si="42"/>
        <v>0</v>
      </c>
      <c r="I94" s="16">
        <f t="shared" ca="1" si="43"/>
        <v>0</v>
      </c>
      <c r="J94" s="16">
        <f t="shared" ca="1" si="44"/>
        <v>0</v>
      </c>
      <c r="K94" s="16">
        <f t="shared" ca="1" si="45"/>
        <v>0</v>
      </c>
      <c r="L94" s="16">
        <f t="shared" ca="1" si="46"/>
        <v>0</v>
      </c>
      <c r="M94" s="16">
        <f t="shared" ca="1" si="47"/>
        <v>0</v>
      </c>
      <c r="N94" s="16">
        <f t="shared" ca="1" si="48"/>
        <v>0</v>
      </c>
      <c r="O94" s="16">
        <f t="shared" ca="1" si="49"/>
        <v>0</v>
      </c>
      <c r="P94" s="16">
        <f t="shared" ca="1" si="50"/>
        <v>0</v>
      </c>
      <c r="Q94" s="16">
        <f t="shared" ca="1" si="51"/>
        <v>0</v>
      </c>
      <c r="R94" s="16">
        <f t="shared" ca="1" si="52"/>
        <v>0</v>
      </c>
      <c r="S94" s="17">
        <f t="shared" ca="1" si="53"/>
        <v>0</v>
      </c>
    </row>
    <row r="95" spans="1:19" ht="13.8">
      <c r="A95" s="10"/>
      <c r="B95" s="10" t="str">
        <f t="shared" si="36"/>
        <v/>
      </c>
      <c r="C95" s="11" t="str">
        <f t="shared" si="37"/>
        <v/>
      </c>
      <c r="D95" s="16" t="str">
        <f t="shared" si="38"/>
        <v/>
      </c>
      <c r="E95" s="16" t="str">
        <f t="shared" si="39"/>
        <v/>
      </c>
      <c r="F95" s="16" t="str">
        <f t="shared" si="40"/>
        <v/>
      </c>
      <c r="G95" s="16" t="str">
        <f t="shared" si="41"/>
        <v/>
      </c>
      <c r="H95" s="16" t="str">
        <f t="shared" si="42"/>
        <v/>
      </c>
      <c r="I95" s="16" t="str">
        <f t="shared" si="43"/>
        <v/>
      </c>
      <c r="J95" s="16" t="str">
        <f t="shared" si="44"/>
        <v/>
      </c>
      <c r="K95" s="16" t="str">
        <f t="shared" si="45"/>
        <v/>
      </c>
      <c r="L95" s="16" t="str">
        <f t="shared" si="46"/>
        <v/>
      </c>
      <c r="M95" s="16" t="str">
        <f t="shared" si="47"/>
        <v/>
      </c>
      <c r="N95" s="16" t="str">
        <f t="shared" si="48"/>
        <v/>
      </c>
      <c r="O95" s="16" t="str">
        <f t="shared" si="49"/>
        <v/>
      </c>
      <c r="P95" s="16" t="str">
        <f t="shared" si="50"/>
        <v/>
      </c>
      <c r="Q95" s="16" t="str">
        <f t="shared" si="51"/>
        <v/>
      </c>
      <c r="R95" s="16" t="str">
        <f t="shared" si="52"/>
        <v/>
      </c>
      <c r="S95" s="17" t="str">
        <f t="shared" si="53"/>
        <v/>
      </c>
    </row>
    <row r="96" spans="1:19" ht="41.4">
      <c r="A96" s="10">
        <f ca="1">IFERROR(__xludf.DUMMYFUNCTION("""COMPUTED_VALUE"""),95)</f>
        <v>95</v>
      </c>
      <c r="B96" s="10" t="str">
        <f t="shared" ca="1" si="36"/>
        <v>Socialización de PDD a la Mesa Distrital de Víctimas del Conflicto Armado</v>
      </c>
      <c r="C96" s="11">
        <f t="shared" ca="1" si="37"/>
        <v>45362</v>
      </c>
      <c r="D96" s="16">
        <f t="shared" ca="1" si="38"/>
        <v>0</v>
      </c>
      <c r="E96" s="16">
        <f t="shared" ca="1" si="39"/>
        <v>0</v>
      </c>
      <c r="F96" s="16">
        <f t="shared" ca="1" si="40"/>
        <v>0</v>
      </c>
      <c r="G96" s="16">
        <f t="shared" ca="1" si="41"/>
        <v>0</v>
      </c>
      <c r="H96" s="16">
        <f t="shared" ca="1" si="42"/>
        <v>0</v>
      </c>
      <c r="I96" s="16">
        <f t="shared" ca="1" si="43"/>
        <v>0</v>
      </c>
      <c r="J96" s="16">
        <f t="shared" ca="1" si="44"/>
        <v>0</v>
      </c>
      <c r="K96" s="16">
        <f t="shared" ca="1" si="45"/>
        <v>0</v>
      </c>
      <c r="L96" s="16">
        <f t="shared" ca="1" si="46"/>
        <v>0</v>
      </c>
      <c r="M96" s="16">
        <f t="shared" ca="1" si="47"/>
        <v>0</v>
      </c>
      <c r="N96" s="16">
        <f t="shared" ca="1" si="48"/>
        <v>0</v>
      </c>
      <c r="O96" s="16">
        <f t="shared" ca="1" si="49"/>
        <v>0</v>
      </c>
      <c r="P96" s="16">
        <f t="shared" ca="1" si="50"/>
        <v>0</v>
      </c>
      <c r="Q96" s="16">
        <f t="shared" ca="1" si="51"/>
        <v>0</v>
      </c>
      <c r="R96" s="16">
        <f t="shared" ca="1" si="52"/>
        <v>0</v>
      </c>
      <c r="S96" s="17">
        <f t="shared" ca="1" si="53"/>
        <v>0</v>
      </c>
    </row>
    <row r="97" spans="1:19" ht="13.8">
      <c r="A97" s="10"/>
      <c r="B97" s="10" t="str">
        <f t="shared" si="36"/>
        <v/>
      </c>
      <c r="C97" s="11" t="str">
        <f t="shared" si="37"/>
        <v/>
      </c>
      <c r="D97" s="16" t="str">
        <f t="shared" si="38"/>
        <v/>
      </c>
      <c r="E97" s="16" t="str">
        <f t="shared" si="39"/>
        <v/>
      </c>
      <c r="F97" s="16" t="str">
        <f t="shared" si="40"/>
        <v/>
      </c>
      <c r="G97" s="16" t="str">
        <f t="shared" si="41"/>
        <v/>
      </c>
      <c r="H97" s="16" t="str">
        <f t="shared" si="42"/>
        <v/>
      </c>
      <c r="I97" s="16" t="str">
        <f t="shared" si="43"/>
        <v/>
      </c>
      <c r="J97" s="16" t="str">
        <f t="shared" si="44"/>
        <v/>
      </c>
      <c r="K97" s="16" t="str">
        <f t="shared" si="45"/>
        <v/>
      </c>
      <c r="L97" s="16" t="str">
        <f t="shared" si="46"/>
        <v/>
      </c>
      <c r="M97" s="16" t="str">
        <f t="shared" si="47"/>
        <v/>
      </c>
      <c r="N97" s="16" t="str">
        <f t="shared" si="48"/>
        <v/>
      </c>
      <c r="O97" s="16" t="str">
        <f t="shared" si="49"/>
        <v/>
      </c>
      <c r="P97" s="16" t="str">
        <f t="shared" si="50"/>
        <v/>
      </c>
      <c r="Q97" s="16" t="str">
        <f t="shared" si="51"/>
        <v/>
      </c>
      <c r="R97" s="16" t="str">
        <f t="shared" si="52"/>
        <v/>
      </c>
      <c r="S97" s="17" t="str">
        <f t="shared" si="53"/>
        <v/>
      </c>
    </row>
    <row r="98" spans="1:19" ht="41.4">
      <c r="A98" s="10">
        <f ca="1">IFERROR(__xludf.DUMMYFUNCTION("""COMPUTED_VALUE"""),97)</f>
        <v>97</v>
      </c>
      <c r="B98" s="10" t="str">
        <f t="shared" ref="B98:B129" ca="1" si="54">IFERROR(VLOOKUP(A98,DATA_MATRIZ,2,FALSE),"")</f>
        <v>Dialogo Ciudadano para la Construcción del PDD - UPL Tunjuelito</v>
      </c>
      <c r="C98" s="11">
        <f t="shared" ref="C98:C129" ca="1" si="55">IFERROR(VLOOKUP(A98,DATA_MATRIZ,3,FALSE),"")</f>
        <v>45362</v>
      </c>
      <c r="D98" s="16">
        <f t="shared" ref="D98:D129" ca="1" si="56">IFERROR(VLOOKUP(A98,DATA_MATRIZ,89,FALSE),"")</f>
        <v>0</v>
      </c>
      <c r="E98" s="16">
        <f t="shared" ref="E98:E129" ca="1" si="57">IFERROR(VLOOKUP(A98,DATA_MATRIZ,90,FALSE),"")</f>
        <v>0</v>
      </c>
      <c r="F98" s="16">
        <f t="shared" ref="F98:F129" ca="1" si="58">IFERROR(VLOOKUP(A98,DATA_MATRIZ,96,FALSE),"")</f>
        <v>0</v>
      </c>
      <c r="G98" s="16">
        <f t="shared" ref="G98:G129" ca="1" si="59">IFERROR(VLOOKUP(A98,DATA_MATRIZ,91,FALSE),"")</f>
        <v>0</v>
      </c>
      <c r="H98" s="16">
        <f t="shared" ref="H98:H129" ca="1" si="60">IFERROR(VLOOKUP(A98,DATA_MATRIZ,97,FALSE),"")</f>
        <v>0</v>
      </c>
      <c r="I98" s="16">
        <f t="shared" ref="I98:I129" ca="1" si="61">IFERROR(VLOOKUP(A98,DATA_MATRIZ,92,FALSE),"")</f>
        <v>0</v>
      </c>
      <c r="J98" s="16">
        <f t="shared" ref="J98:J129" ca="1" si="62">IFERROR(VLOOKUP(A98,DATA_MATRIZ,98,FALSE),"")</f>
        <v>0</v>
      </c>
      <c r="K98" s="16">
        <f t="shared" ref="K98:K129" ca="1" si="63">IFERROR(VLOOKUP(A98,DATA_MATRIZ,93,FALSE),"")</f>
        <v>0</v>
      </c>
      <c r="L98" s="16">
        <f t="shared" ref="L98:L129" ca="1" si="64">IFERROR(VLOOKUP(A98,DATA_MATRIZ,99,FALSE),"")</f>
        <v>0</v>
      </c>
      <c r="M98" s="16">
        <f t="shared" ref="M98:M129" ca="1" si="65">IFERROR(VLOOKUP(A98,DATA_MATRIZ,94,FALSE),"")</f>
        <v>0</v>
      </c>
      <c r="N98" s="16">
        <f t="shared" ref="N98:N129" ca="1" si="66">IFERROR(VLOOKUP(A98,DATA_MATRIZ,100,FALSE),"")</f>
        <v>0</v>
      </c>
      <c r="O98" s="16">
        <f t="shared" ref="O98:O129" ca="1" si="67">IFERROR(VLOOKUP(A98,DATA_MATRIZ,95,FALSE),"")</f>
        <v>0</v>
      </c>
      <c r="P98" s="16">
        <f t="shared" ref="P98:P129" ca="1" si="68">IFERROR(VLOOKUP(A98,DATA_MATRIZ,101,FALSE),"")</f>
        <v>0</v>
      </c>
      <c r="Q98" s="16">
        <f t="shared" ref="Q98:Q129" ca="1" si="69">IFERROR(VLOOKUP(A98,DATA_MATRIZ,103,FALSE),"")</f>
        <v>0</v>
      </c>
      <c r="R98" s="16">
        <f t="shared" ref="R98:R129" ca="1" si="70">IFERROR(VLOOKUP(A98,DATA_MATRIZ,105,FALSE),"")</f>
        <v>0</v>
      </c>
      <c r="S98" s="17">
        <f t="shared" ref="S98:S129" ca="1" si="71">IFERROR(VLOOKUP(A98,DATA_MATRIZ,106,FALSE),"")</f>
        <v>0</v>
      </c>
    </row>
    <row r="99" spans="1:19" ht="13.8">
      <c r="A99" s="10">
        <f ca="1">IFERROR(__xludf.DUMMYFUNCTION("""COMPUTED_VALUE"""),98)</f>
        <v>98</v>
      </c>
      <c r="B99" s="10" t="str">
        <f t="shared" ca="1" si="54"/>
        <v>Plenaria Permanente - CTPD</v>
      </c>
      <c r="C99" s="11">
        <f t="shared" ca="1" si="55"/>
        <v>45362</v>
      </c>
      <c r="D99" s="16">
        <f t="shared" ca="1" si="56"/>
        <v>0</v>
      </c>
      <c r="E99" s="16">
        <f t="shared" ca="1" si="57"/>
        <v>0</v>
      </c>
      <c r="F99" s="16">
        <f t="shared" ca="1" si="58"/>
        <v>0</v>
      </c>
      <c r="G99" s="16">
        <f t="shared" ca="1" si="59"/>
        <v>0</v>
      </c>
      <c r="H99" s="16">
        <f t="shared" ca="1" si="60"/>
        <v>0</v>
      </c>
      <c r="I99" s="16">
        <f t="shared" ca="1" si="61"/>
        <v>0</v>
      </c>
      <c r="J99" s="16">
        <f t="shared" ca="1" si="62"/>
        <v>0</v>
      </c>
      <c r="K99" s="16">
        <f t="shared" ca="1" si="63"/>
        <v>0</v>
      </c>
      <c r="L99" s="16">
        <f t="shared" ca="1" si="64"/>
        <v>0</v>
      </c>
      <c r="M99" s="16">
        <f t="shared" ca="1" si="65"/>
        <v>0</v>
      </c>
      <c r="N99" s="16">
        <f t="shared" ca="1" si="66"/>
        <v>0</v>
      </c>
      <c r="O99" s="16">
        <f t="shared" ca="1" si="67"/>
        <v>0</v>
      </c>
      <c r="P99" s="16">
        <f t="shared" ca="1" si="68"/>
        <v>0</v>
      </c>
      <c r="Q99" s="16">
        <f t="shared" ca="1" si="69"/>
        <v>0</v>
      </c>
      <c r="R99" s="16">
        <f t="shared" ca="1" si="70"/>
        <v>0</v>
      </c>
      <c r="S99" s="17">
        <f t="shared" ca="1" si="71"/>
        <v>0</v>
      </c>
    </row>
    <row r="100" spans="1:19" ht="13.8">
      <c r="A100" s="10"/>
      <c r="B100" s="10" t="str">
        <f t="shared" si="54"/>
        <v/>
      </c>
      <c r="C100" s="11" t="str">
        <f t="shared" si="55"/>
        <v/>
      </c>
      <c r="D100" s="16" t="str">
        <f t="shared" si="56"/>
        <v/>
      </c>
      <c r="E100" s="16" t="str">
        <f t="shared" si="57"/>
        <v/>
      </c>
      <c r="F100" s="16" t="str">
        <f t="shared" si="58"/>
        <v/>
      </c>
      <c r="G100" s="16" t="str">
        <f t="shared" si="59"/>
        <v/>
      </c>
      <c r="H100" s="16" t="str">
        <f t="shared" si="60"/>
        <v/>
      </c>
      <c r="I100" s="16" t="str">
        <f t="shared" si="61"/>
        <v/>
      </c>
      <c r="J100" s="16" t="str">
        <f t="shared" si="62"/>
        <v/>
      </c>
      <c r="K100" s="16" t="str">
        <f t="shared" si="63"/>
        <v/>
      </c>
      <c r="L100" s="16" t="str">
        <f t="shared" si="64"/>
        <v/>
      </c>
      <c r="M100" s="16" t="str">
        <f t="shared" si="65"/>
        <v/>
      </c>
      <c r="N100" s="16" t="str">
        <f t="shared" si="66"/>
        <v/>
      </c>
      <c r="O100" s="16" t="str">
        <f t="shared" si="67"/>
        <v/>
      </c>
      <c r="P100" s="16" t="str">
        <f t="shared" si="68"/>
        <v/>
      </c>
      <c r="Q100" s="16" t="str">
        <f t="shared" si="69"/>
        <v/>
      </c>
      <c r="R100" s="16" t="str">
        <f t="shared" si="70"/>
        <v/>
      </c>
      <c r="S100" s="17" t="str">
        <f t="shared" si="71"/>
        <v/>
      </c>
    </row>
    <row r="101" spans="1:19" ht="13.8">
      <c r="A101" s="10">
        <f ca="1">IFERROR(__xludf.DUMMYFUNCTION("""COMPUTED_VALUE"""),100)</f>
        <v>100</v>
      </c>
      <c r="B101" s="10" t="str">
        <f t="shared" ca="1" si="54"/>
        <v>CLIP Engativá</v>
      </c>
      <c r="C101" s="11">
        <f t="shared" ca="1" si="55"/>
        <v>45363</v>
      </c>
      <c r="D101" s="16">
        <f t="shared" ca="1" si="56"/>
        <v>0</v>
      </c>
      <c r="E101" s="16">
        <f t="shared" ca="1" si="57"/>
        <v>0</v>
      </c>
      <c r="F101" s="16">
        <f t="shared" ca="1" si="58"/>
        <v>0</v>
      </c>
      <c r="G101" s="16">
        <f t="shared" ca="1" si="59"/>
        <v>0</v>
      </c>
      <c r="H101" s="16">
        <f t="shared" ca="1" si="60"/>
        <v>0</v>
      </c>
      <c r="I101" s="16">
        <f t="shared" ca="1" si="61"/>
        <v>0</v>
      </c>
      <c r="J101" s="16">
        <f t="shared" ca="1" si="62"/>
        <v>0</v>
      </c>
      <c r="K101" s="16">
        <f t="shared" ca="1" si="63"/>
        <v>0</v>
      </c>
      <c r="L101" s="16">
        <f t="shared" ca="1" si="64"/>
        <v>0</v>
      </c>
      <c r="M101" s="16">
        <f t="shared" ca="1" si="65"/>
        <v>0</v>
      </c>
      <c r="N101" s="16">
        <f t="shared" ca="1" si="66"/>
        <v>0</v>
      </c>
      <c r="O101" s="16">
        <f t="shared" ca="1" si="67"/>
        <v>0</v>
      </c>
      <c r="P101" s="16">
        <f t="shared" ca="1" si="68"/>
        <v>0</v>
      </c>
      <c r="Q101" s="16">
        <f t="shared" ca="1" si="69"/>
        <v>0</v>
      </c>
      <c r="R101" s="16">
        <f t="shared" ca="1" si="70"/>
        <v>0</v>
      </c>
      <c r="S101" s="17">
        <f t="shared" ca="1" si="71"/>
        <v>0</v>
      </c>
    </row>
    <row r="102" spans="1:19" ht="41.4">
      <c r="A102" s="10">
        <f ca="1">IFERROR(__xludf.DUMMYFUNCTION("""COMPUTED_VALUE"""),101)</f>
        <v>101</v>
      </c>
      <c r="B102" s="10" t="str">
        <f t="shared" ca="1" si="54"/>
        <v>Dialogo Ciudadano para la Construcción del PDD - UPL Patio Bonito</v>
      </c>
      <c r="C102" s="11">
        <f t="shared" ca="1" si="55"/>
        <v>45363</v>
      </c>
      <c r="D102" s="16">
        <f t="shared" ca="1" si="56"/>
        <v>0</v>
      </c>
      <c r="E102" s="16">
        <f t="shared" ca="1" si="57"/>
        <v>0</v>
      </c>
      <c r="F102" s="16">
        <f t="shared" ca="1" si="58"/>
        <v>0</v>
      </c>
      <c r="G102" s="16">
        <f t="shared" ca="1" si="59"/>
        <v>0</v>
      </c>
      <c r="H102" s="16">
        <f t="shared" ca="1" si="60"/>
        <v>0</v>
      </c>
      <c r="I102" s="16">
        <f t="shared" ca="1" si="61"/>
        <v>0</v>
      </c>
      <c r="J102" s="16">
        <f t="shared" ca="1" si="62"/>
        <v>0</v>
      </c>
      <c r="K102" s="16">
        <f t="shared" ca="1" si="63"/>
        <v>0</v>
      </c>
      <c r="L102" s="16">
        <f t="shared" ca="1" si="64"/>
        <v>0</v>
      </c>
      <c r="M102" s="16">
        <f t="shared" ca="1" si="65"/>
        <v>0</v>
      </c>
      <c r="N102" s="16">
        <f t="shared" ca="1" si="66"/>
        <v>0</v>
      </c>
      <c r="O102" s="16">
        <f t="shared" ca="1" si="67"/>
        <v>0</v>
      </c>
      <c r="P102" s="16">
        <f t="shared" ca="1" si="68"/>
        <v>0</v>
      </c>
      <c r="Q102" s="16">
        <f t="shared" ca="1" si="69"/>
        <v>0</v>
      </c>
      <c r="R102" s="16">
        <f t="shared" ca="1" si="70"/>
        <v>0</v>
      </c>
      <c r="S102" s="17">
        <f t="shared" ca="1" si="71"/>
        <v>0</v>
      </c>
    </row>
    <row r="103" spans="1:19" ht="41.4">
      <c r="A103" s="10">
        <f ca="1">IFERROR(__xludf.DUMMYFUNCTION("""COMPUTED_VALUE"""),102)</f>
        <v>102</v>
      </c>
      <c r="B103" s="10" t="str">
        <f t="shared" ca="1" si="54"/>
        <v>Presentación metodología para los talleres de diálogos ciudadanos PDD - JAL Sumapaz</v>
      </c>
      <c r="C103" s="11">
        <f t="shared" ca="1" si="55"/>
        <v>45363</v>
      </c>
      <c r="D103" s="16">
        <f t="shared" ca="1" si="56"/>
        <v>0</v>
      </c>
      <c r="E103" s="16">
        <f t="shared" ca="1" si="57"/>
        <v>0</v>
      </c>
      <c r="F103" s="16">
        <f t="shared" ca="1" si="58"/>
        <v>0</v>
      </c>
      <c r="G103" s="16">
        <f t="shared" ca="1" si="59"/>
        <v>0</v>
      </c>
      <c r="H103" s="16">
        <f t="shared" ca="1" si="60"/>
        <v>0</v>
      </c>
      <c r="I103" s="16">
        <f t="shared" ca="1" si="61"/>
        <v>0</v>
      </c>
      <c r="J103" s="16">
        <f t="shared" ca="1" si="62"/>
        <v>0</v>
      </c>
      <c r="K103" s="16">
        <f t="shared" ca="1" si="63"/>
        <v>0</v>
      </c>
      <c r="L103" s="16">
        <f t="shared" ca="1" si="64"/>
        <v>0</v>
      </c>
      <c r="M103" s="16">
        <f t="shared" ca="1" si="65"/>
        <v>0</v>
      </c>
      <c r="N103" s="16">
        <f t="shared" ca="1" si="66"/>
        <v>0</v>
      </c>
      <c r="O103" s="16">
        <f t="shared" ca="1" si="67"/>
        <v>0</v>
      </c>
      <c r="P103" s="16">
        <f t="shared" ca="1" si="68"/>
        <v>0</v>
      </c>
      <c r="Q103" s="16">
        <f t="shared" ca="1" si="69"/>
        <v>0</v>
      </c>
      <c r="R103" s="16">
        <f t="shared" ca="1" si="70"/>
        <v>0</v>
      </c>
      <c r="S103" s="17">
        <f t="shared" ca="1" si="71"/>
        <v>0</v>
      </c>
    </row>
    <row r="104" spans="1:19" ht="13.8">
      <c r="A104" s="10">
        <f ca="1">IFERROR(__xludf.DUMMYFUNCTION("""COMPUTED_VALUE"""),103)</f>
        <v>103</v>
      </c>
      <c r="B104" s="10" t="str">
        <f t="shared" ca="1" si="54"/>
        <v>Plenaria Permanente - CTPD</v>
      </c>
      <c r="C104" s="11">
        <f t="shared" ca="1" si="55"/>
        <v>45363</v>
      </c>
      <c r="D104" s="16">
        <f t="shared" ca="1" si="56"/>
        <v>0</v>
      </c>
      <c r="E104" s="16">
        <f t="shared" ca="1" si="57"/>
        <v>0</v>
      </c>
      <c r="F104" s="16">
        <f t="shared" ca="1" si="58"/>
        <v>0</v>
      </c>
      <c r="G104" s="16">
        <f t="shared" ca="1" si="59"/>
        <v>0</v>
      </c>
      <c r="H104" s="16">
        <f t="shared" ca="1" si="60"/>
        <v>0</v>
      </c>
      <c r="I104" s="16">
        <f t="shared" ca="1" si="61"/>
        <v>0</v>
      </c>
      <c r="J104" s="16">
        <f t="shared" ca="1" si="62"/>
        <v>0</v>
      </c>
      <c r="K104" s="16">
        <f t="shared" ca="1" si="63"/>
        <v>0</v>
      </c>
      <c r="L104" s="16">
        <f t="shared" ca="1" si="64"/>
        <v>0</v>
      </c>
      <c r="M104" s="16">
        <f t="shared" ca="1" si="65"/>
        <v>0</v>
      </c>
      <c r="N104" s="16">
        <f t="shared" ca="1" si="66"/>
        <v>0</v>
      </c>
      <c r="O104" s="16">
        <f t="shared" ca="1" si="67"/>
        <v>0</v>
      </c>
      <c r="P104" s="16">
        <f t="shared" ca="1" si="68"/>
        <v>0</v>
      </c>
      <c r="Q104" s="16">
        <f t="shared" ca="1" si="69"/>
        <v>0</v>
      </c>
      <c r="R104" s="16">
        <f t="shared" ca="1" si="70"/>
        <v>0</v>
      </c>
      <c r="S104" s="17">
        <f t="shared" ca="1" si="71"/>
        <v>0</v>
      </c>
    </row>
    <row r="105" spans="1:19" ht="27.6">
      <c r="A105" s="10">
        <f ca="1">IFERROR(__xludf.DUMMYFUNCTION("""COMPUTED_VALUE"""),104)</f>
        <v>104</v>
      </c>
      <c r="B105" s="10" t="str">
        <f t="shared" ca="1" si="54"/>
        <v>Comité Coordinador Intersectorial de Participación PDD</v>
      </c>
      <c r="C105" s="11">
        <f t="shared" ca="1" si="55"/>
        <v>45364</v>
      </c>
      <c r="D105" s="16">
        <f t="shared" ca="1" si="56"/>
        <v>0</v>
      </c>
      <c r="E105" s="16">
        <f t="shared" ca="1" si="57"/>
        <v>0</v>
      </c>
      <c r="F105" s="16">
        <f t="shared" ca="1" si="58"/>
        <v>0</v>
      </c>
      <c r="G105" s="16">
        <f t="shared" ca="1" si="59"/>
        <v>0</v>
      </c>
      <c r="H105" s="16">
        <f t="shared" ca="1" si="60"/>
        <v>0</v>
      </c>
      <c r="I105" s="16">
        <f t="shared" ca="1" si="61"/>
        <v>0</v>
      </c>
      <c r="J105" s="16">
        <f t="shared" ca="1" si="62"/>
        <v>0</v>
      </c>
      <c r="K105" s="16">
        <f t="shared" ca="1" si="63"/>
        <v>0</v>
      </c>
      <c r="L105" s="16">
        <f t="shared" ca="1" si="64"/>
        <v>0</v>
      </c>
      <c r="M105" s="16">
        <f t="shared" ca="1" si="65"/>
        <v>0</v>
      </c>
      <c r="N105" s="16">
        <f t="shared" ca="1" si="66"/>
        <v>0</v>
      </c>
      <c r="O105" s="16">
        <f t="shared" ca="1" si="67"/>
        <v>0</v>
      </c>
      <c r="P105" s="16">
        <f t="shared" ca="1" si="68"/>
        <v>0</v>
      </c>
      <c r="Q105" s="16">
        <f t="shared" ca="1" si="69"/>
        <v>0</v>
      </c>
      <c r="R105" s="16">
        <f t="shared" ca="1" si="70"/>
        <v>0</v>
      </c>
      <c r="S105" s="17">
        <f t="shared" ca="1" si="71"/>
        <v>0</v>
      </c>
    </row>
    <row r="106" spans="1:19" ht="13.8">
      <c r="A106" s="10">
        <f ca="1">IFERROR(__xludf.DUMMYFUNCTION("""COMPUTED_VALUE"""),105)</f>
        <v>105</v>
      </c>
      <c r="B106" s="10" t="str">
        <f t="shared" ca="1" si="54"/>
        <v>CLIP Antonio Nariño</v>
      </c>
      <c r="C106" s="11">
        <f t="shared" ca="1" si="55"/>
        <v>45364</v>
      </c>
      <c r="D106" s="16">
        <f t="shared" ca="1" si="56"/>
        <v>0</v>
      </c>
      <c r="E106" s="16">
        <f t="shared" ca="1" si="57"/>
        <v>0</v>
      </c>
      <c r="F106" s="16">
        <f t="shared" ca="1" si="58"/>
        <v>0</v>
      </c>
      <c r="G106" s="16">
        <f t="shared" ca="1" si="59"/>
        <v>0</v>
      </c>
      <c r="H106" s="16">
        <f t="shared" ca="1" si="60"/>
        <v>0</v>
      </c>
      <c r="I106" s="16">
        <f t="shared" ca="1" si="61"/>
        <v>0</v>
      </c>
      <c r="J106" s="16">
        <f t="shared" ca="1" si="62"/>
        <v>0</v>
      </c>
      <c r="K106" s="16">
        <f t="shared" ca="1" si="63"/>
        <v>0</v>
      </c>
      <c r="L106" s="16">
        <f t="shared" ca="1" si="64"/>
        <v>0</v>
      </c>
      <c r="M106" s="16">
        <f t="shared" ca="1" si="65"/>
        <v>0</v>
      </c>
      <c r="N106" s="16">
        <f t="shared" ca="1" si="66"/>
        <v>0</v>
      </c>
      <c r="O106" s="16">
        <f t="shared" ca="1" si="67"/>
        <v>0</v>
      </c>
      <c r="P106" s="16">
        <f t="shared" ca="1" si="68"/>
        <v>0</v>
      </c>
      <c r="Q106" s="16">
        <f t="shared" ca="1" si="69"/>
        <v>0</v>
      </c>
      <c r="R106" s="16">
        <f t="shared" ca="1" si="70"/>
        <v>0</v>
      </c>
      <c r="S106" s="17">
        <f t="shared" ca="1" si="71"/>
        <v>0</v>
      </c>
    </row>
    <row r="107" spans="1:19" ht="13.8">
      <c r="A107" s="10">
        <f ca="1">IFERROR(__xludf.DUMMYFUNCTION("""COMPUTED_VALUE"""),106)</f>
        <v>106</v>
      </c>
      <c r="B107" s="10" t="str">
        <f t="shared" ca="1" si="54"/>
        <v>CLIP Teusaquillo</v>
      </c>
      <c r="C107" s="11">
        <f t="shared" ca="1" si="55"/>
        <v>45364</v>
      </c>
      <c r="D107" s="16">
        <f t="shared" ca="1" si="56"/>
        <v>0</v>
      </c>
      <c r="E107" s="16">
        <f t="shared" ca="1" si="57"/>
        <v>0</v>
      </c>
      <c r="F107" s="16">
        <f t="shared" ca="1" si="58"/>
        <v>0</v>
      </c>
      <c r="G107" s="16">
        <f t="shared" ca="1" si="59"/>
        <v>0</v>
      </c>
      <c r="H107" s="16">
        <f t="shared" ca="1" si="60"/>
        <v>0</v>
      </c>
      <c r="I107" s="16">
        <f t="shared" ca="1" si="61"/>
        <v>0</v>
      </c>
      <c r="J107" s="16">
        <f t="shared" ca="1" si="62"/>
        <v>0</v>
      </c>
      <c r="K107" s="16">
        <f t="shared" ca="1" si="63"/>
        <v>0</v>
      </c>
      <c r="L107" s="16">
        <f t="shared" ca="1" si="64"/>
        <v>0</v>
      </c>
      <c r="M107" s="16">
        <f t="shared" ca="1" si="65"/>
        <v>0</v>
      </c>
      <c r="N107" s="16">
        <f t="shared" ca="1" si="66"/>
        <v>0</v>
      </c>
      <c r="O107" s="16">
        <f t="shared" ca="1" si="67"/>
        <v>0</v>
      </c>
      <c r="P107" s="16">
        <f t="shared" ca="1" si="68"/>
        <v>0</v>
      </c>
      <c r="Q107" s="16">
        <f t="shared" ca="1" si="69"/>
        <v>0</v>
      </c>
      <c r="R107" s="16">
        <f t="shared" ca="1" si="70"/>
        <v>0</v>
      </c>
      <c r="S107" s="17">
        <f t="shared" ca="1" si="71"/>
        <v>0</v>
      </c>
    </row>
    <row r="108" spans="1:19" ht="13.8">
      <c r="A108" s="10">
        <f ca="1">IFERROR(__xludf.DUMMYFUNCTION("""COMPUTED_VALUE"""),107)</f>
        <v>107</v>
      </c>
      <c r="B108" s="10" t="str">
        <f t="shared" ca="1" si="54"/>
        <v>CLIP Usme</v>
      </c>
      <c r="C108" s="11">
        <f t="shared" ca="1" si="55"/>
        <v>45364</v>
      </c>
      <c r="D108" s="16">
        <f t="shared" ca="1" si="56"/>
        <v>0</v>
      </c>
      <c r="E108" s="16">
        <f t="shared" ca="1" si="57"/>
        <v>0</v>
      </c>
      <c r="F108" s="16">
        <f t="shared" ca="1" si="58"/>
        <v>0</v>
      </c>
      <c r="G108" s="16">
        <f t="shared" ca="1" si="59"/>
        <v>0</v>
      </c>
      <c r="H108" s="16">
        <f t="shared" ca="1" si="60"/>
        <v>0</v>
      </c>
      <c r="I108" s="16">
        <f t="shared" ca="1" si="61"/>
        <v>0</v>
      </c>
      <c r="J108" s="16">
        <f t="shared" ca="1" si="62"/>
        <v>0</v>
      </c>
      <c r="K108" s="16">
        <f t="shared" ca="1" si="63"/>
        <v>0</v>
      </c>
      <c r="L108" s="16">
        <f t="shared" ca="1" si="64"/>
        <v>0</v>
      </c>
      <c r="M108" s="16">
        <f t="shared" ca="1" si="65"/>
        <v>0</v>
      </c>
      <c r="N108" s="16">
        <f t="shared" ca="1" si="66"/>
        <v>0</v>
      </c>
      <c r="O108" s="16">
        <f t="shared" ca="1" si="67"/>
        <v>0</v>
      </c>
      <c r="P108" s="16">
        <f t="shared" ca="1" si="68"/>
        <v>0</v>
      </c>
      <c r="Q108" s="16">
        <f t="shared" ca="1" si="69"/>
        <v>0</v>
      </c>
      <c r="R108" s="16">
        <f t="shared" ca="1" si="70"/>
        <v>0</v>
      </c>
      <c r="S108" s="17">
        <f t="shared" ca="1" si="71"/>
        <v>0</v>
      </c>
    </row>
    <row r="109" spans="1:19" ht="41.4">
      <c r="A109" s="10">
        <f ca="1">IFERROR(__xludf.DUMMYFUNCTION("""COMPUTED_VALUE"""),108)</f>
        <v>108</v>
      </c>
      <c r="B109" s="10" t="str">
        <f t="shared" ca="1" si="54"/>
        <v>Quinto foro virtual con Servidores Públicos para la formulación del PDD - DASCD/SDP</v>
      </c>
      <c r="C109" s="11">
        <f t="shared" ca="1" si="55"/>
        <v>45364</v>
      </c>
      <c r="D109" s="16">
        <f t="shared" ca="1" si="56"/>
        <v>0</v>
      </c>
      <c r="E109" s="16">
        <f t="shared" ca="1" si="57"/>
        <v>0</v>
      </c>
      <c r="F109" s="16">
        <f t="shared" ca="1" si="58"/>
        <v>0</v>
      </c>
      <c r="G109" s="16">
        <f t="shared" ca="1" si="59"/>
        <v>0</v>
      </c>
      <c r="H109" s="16">
        <f t="shared" ca="1" si="60"/>
        <v>0</v>
      </c>
      <c r="I109" s="16">
        <f t="shared" ca="1" si="61"/>
        <v>0</v>
      </c>
      <c r="J109" s="16">
        <f t="shared" ca="1" si="62"/>
        <v>0</v>
      </c>
      <c r="K109" s="16">
        <f t="shared" ca="1" si="63"/>
        <v>0</v>
      </c>
      <c r="L109" s="16">
        <f t="shared" ca="1" si="64"/>
        <v>0</v>
      </c>
      <c r="M109" s="16">
        <f t="shared" ca="1" si="65"/>
        <v>0</v>
      </c>
      <c r="N109" s="16">
        <f t="shared" ca="1" si="66"/>
        <v>0</v>
      </c>
      <c r="O109" s="16">
        <f t="shared" ca="1" si="67"/>
        <v>0</v>
      </c>
      <c r="P109" s="16">
        <f t="shared" ca="1" si="68"/>
        <v>0</v>
      </c>
      <c r="Q109" s="16">
        <f t="shared" ca="1" si="69"/>
        <v>0</v>
      </c>
      <c r="R109" s="16">
        <f t="shared" ca="1" si="70"/>
        <v>0</v>
      </c>
      <c r="S109" s="17">
        <f t="shared" ca="1" si="71"/>
        <v>0</v>
      </c>
    </row>
    <row r="110" spans="1:19" ht="55.2">
      <c r="A110" s="10">
        <f ca="1">IFERROR(__xludf.DUMMYFUNCTION("""COMPUTED_VALUE"""),109)</f>
        <v>109</v>
      </c>
      <c r="B110" s="10" t="str">
        <f t="shared" ca="1" si="54"/>
        <v>Gestión: Concertación con la Consultiva negra - afrocolombiana de la metodología de participación del PDD</v>
      </c>
      <c r="C110" s="11">
        <f t="shared" ca="1" si="55"/>
        <v>45364</v>
      </c>
      <c r="D110" s="16">
        <f t="shared" ca="1" si="56"/>
        <v>0</v>
      </c>
      <c r="E110" s="16">
        <f t="shared" ca="1" si="57"/>
        <v>0</v>
      </c>
      <c r="F110" s="16">
        <f t="shared" ca="1" si="58"/>
        <v>0</v>
      </c>
      <c r="G110" s="16">
        <f t="shared" ca="1" si="59"/>
        <v>0</v>
      </c>
      <c r="H110" s="16">
        <f t="shared" ca="1" si="60"/>
        <v>0</v>
      </c>
      <c r="I110" s="16">
        <f t="shared" ca="1" si="61"/>
        <v>0</v>
      </c>
      <c r="J110" s="16">
        <f t="shared" ca="1" si="62"/>
        <v>0</v>
      </c>
      <c r="K110" s="16">
        <f t="shared" ca="1" si="63"/>
        <v>0</v>
      </c>
      <c r="L110" s="16">
        <f t="shared" ca="1" si="64"/>
        <v>0</v>
      </c>
      <c r="M110" s="16">
        <f t="shared" ca="1" si="65"/>
        <v>0</v>
      </c>
      <c r="N110" s="16">
        <f t="shared" ca="1" si="66"/>
        <v>0</v>
      </c>
      <c r="O110" s="16">
        <f t="shared" ca="1" si="67"/>
        <v>0</v>
      </c>
      <c r="P110" s="16">
        <f t="shared" ca="1" si="68"/>
        <v>0</v>
      </c>
      <c r="Q110" s="16">
        <f t="shared" ca="1" si="69"/>
        <v>0</v>
      </c>
      <c r="R110" s="16">
        <f t="shared" ca="1" si="70"/>
        <v>0</v>
      </c>
      <c r="S110" s="17">
        <f t="shared" ca="1" si="71"/>
        <v>0</v>
      </c>
    </row>
    <row r="111" spans="1:19" ht="13.8">
      <c r="A111" s="10"/>
      <c r="B111" s="10" t="str">
        <f t="shared" si="54"/>
        <v/>
      </c>
      <c r="C111" s="11" t="str">
        <f t="shared" si="55"/>
        <v/>
      </c>
      <c r="D111" s="16" t="str">
        <f t="shared" si="56"/>
        <v/>
      </c>
      <c r="E111" s="16" t="str">
        <f t="shared" si="57"/>
        <v/>
      </c>
      <c r="F111" s="16" t="str">
        <f t="shared" si="58"/>
        <v/>
      </c>
      <c r="G111" s="16" t="str">
        <f t="shared" si="59"/>
        <v/>
      </c>
      <c r="H111" s="16" t="str">
        <f t="shared" si="60"/>
        <v/>
      </c>
      <c r="I111" s="16" t="str">
        <f t="shared" si="61"/>
        <v/>
      </c>
      <c r="J111" s="16" t="str">
        <f t="shared" si="62"/>
        <v/>
      </c>
      <c r="K111" s="16" t="str">
        <f t="shared" si="63"/>
        <v/>
      </c>
      <c r="L111" s="16" t="str">
        <f t="shared" si="64"/>
        <v/>
      </c>
      <c r="M111" s="16" t="str">
        <f t="shared" si="65"/>
        <v/>
      </c>
      <c r="N111" s="16" t="str">
        <f t="shared" si="66"/>
        <v/>
      </c>
      <c r="O111" s="16" t="str">
        <f t="shared" si="67"/>
        <v/>
      </c>
      <c r="P111" s="16" t="str">
        <f t="shared" si="68"/>
        <v/>
      </c>
      <c r="Q111" s="16" t="str">
        <f t="shared" si="69"/>
        <v/>
      </c>
      <c r="R111" s="16" t="str">
        <f t="shared" si="70"/>
        <v/>
      </c>
      <c r="S111" s="17" t="str">
        <f t="shared" si="71"/>
        <v/>
      </c>
    </row>
    <row r="112" spans="1:19" ht="41.4">
      <c r="A112" s="10">
        <f ca="1">IFERROR(__xludf.DUMMYFUNCTION("""COMPUTED_VALUE"""),111)</f>
        <v>111</v>
      </c>
      <c r="B112" s="10" t="str">
        <f t="shared" ca="1" si="54"/>
        <v>Dialogo Ciudadano para la Construcción del PDD - UPL Barrios Unidos</v>
      </c>
      <c r="C112" s="11">
        <f t="shared" ca="1" si="55"/>
        <v>45364</v>
      </c>
      <c r="D112" s="16">
        <f t="shared" ca="1" si="56"/>
        <v>0</v>
      </c>
      <c r="E112" s="16">
        <f t="shared" ca="1" si="57"/>
        <v>0</v>
      </c>
      <c r="F112" s="16">
        <f t="shared" ca="1" si="58"/>
        <v>0</v>
      </c>
      <c r="G112" s="16">
        <f t="shared" ca="1" si="59"/>
        <v>0</v>
      </c>
      <c r="H112" s="16">
        <f t="shared" ca="1" si="60"/>
        <v>0</v>
      </c>
      <c r="I112" s="16">
        <f t="shared" ca="1" si="61"/>
        <v>0</v>
      </c>
      <c r="J112" s="16">
        <f t="shared" ca="1" si="62"/>
        <v>0</v>
      </c>
      <c r="K112" s="16">
        <f t="shared" ca="1" si="63"/>
        <v>0</v>
      </c>
      <c r="L112" s="16">
        <f t="shared" ca="1" si="64"/>
        <v>0</v>
      </c>
      <c r="M112" s="16">
        <f t="shared" ca="1" si="65"/>
        <v>0</v>
      </c>
      <c r="N112" s="16">
        <f t="shared" ca="1" si="66"/>
        <v>0</v>
      </c>
      <c r="O112" s="16">
        <f t="shared" ca="1" si="67"/>
        <v>0</v>
      </c>
      <c r="P112" s="16">
        <f t="shared" ca="1" si="68"/>
        <v>0</v>
      </c>
      <c r="Q112" s="16">
        <f t="shared" ca="1" si="69"/>
        <v>0</v>
      </c>
      <c r="R112" s="16">
        <f t="shared" ca="1" si="70"/>
        <v>0</v>
      </c>
      <c r="S112" s="17">
        <f t="shared" ca="1" si="71"/>
        <v>0</v>
      </c>
    </row>
    <row r="113" spans="1:19" ht="13.8">
      <c r="A113" s="10">
        <f ca="1">IFERROR(__xludf.DUMMYFUNCTION("""COMPUTED_VALUE"""),112)</f>
        <v>112</v>
      </c>
      <c r="B113" s="10" t="str">
        <f t="shared" ca="1" si="54"/>
        <v>Comisión Poblacional</v>
      </c>
      <c r="C113" s="11">
        <f t="shared" ca="1" si="55"/>
        <v>45364</v>
      </c>
      <c r="D113" s="16">
        <f t="shared" ca="1" si="56"/>
        <v>0</v>
      </c>
      <c r="E113" s="16">
        <f t="shared" ca="1" si="57"/>
        <v>0</v>
      </c>
      <c r="F113" s="16">
        <f t="shared" ca="1" si="58"/>
        <v>0</v>
      </c>
      <c r="G113" s="16">
        <f t="shared" ca="1" si="59"/>
        <v>0</v>
      </c>
      <c r="H113" s="16">
        <f t="shared" ca="1" si="60"/>
        <v>0</v>
      </c>
      <c r="I113" s="16">
        <f t="shared" ca="1" si="61"/>
        <v>0</v>
      </c>
      <c r="J113" s="16">
        <f t="shared" ca="1" si="62"/>
        <v>0</v>
      </c>
      <c r="K113" s="16">
        <f t="shared" ca="1" si="63"/>
        <v>0</v>
      </c>
      <c r="L113" s="16">
        <f t="shared" ca="1" si="64"/>
        <v>0</v>
      </c>
      <c r="M113" s="16">
        <f t="shared" ca="1" si="65"/>
        <v>0</v>
      </c>
      <c r="N113" s="16">
        <f t="shared" ca="1" si="66"/>
        <v>0</v>
      </c>
      <c r="O113" s="16">
        <f t="shared" ca="1" si="67"/>
        <v>0</v>
      </c>
      <c r="P113" s="16">
        <f t="shared" ca="1" si="68"/>
        <v>0</v>
      </c>
      <c r="Q113" s="16">
        <f t="shared" ca="1" si="69"/>
        <v>0</v>
      </c>
      <c r="R113" s="16">
        <f t="shared" ca="1" si="70"/>
        <v>0</v>
      </c>
      <c r="S113" s="17">
        <f t="shared" ca="1" si="71"/>
        <v>0</v>
      </c>
    </row>
    <row r="114" spans="1:19" ht="13.8">
      <c r="A114" s="10">
        <f ca="1">IFERROR(__xludf.DUMMYFUNCTION("""COMPUTED_VALUE"""),113)</f>
        <v>113</v>
      </c>
      <c r="B114" s="10" t="str">
        <f t="shared" ca="1" si="54"/>
        <v>CLIP extraordinaria San Cristóbal</v>
      </c>
      <c r="C114" s="11">
        <f t="shared" ca="1" si="55"/>
        <v>45365</v>
      </c>
      <c r="D114" s="16">
        <f t="shared" ca="1" si="56"/>
        <v>0</v>
      </c>
      <c r="E114" s="16">
        <f t="shared" ca="1" si="57"/>
        <v>0</v>
      </c>
      <c r="F114" s="16">
        <f t="shared" ca="1" si="58"/>
        <v>0</v>
      </c>
      <c r="G114" s="16">
        <f t="shared" ca="1" si="59"/>
        <v>0</v>
      </c>
      <c r="H114" s="16">
        <f t="shared" ca="1" si="60"/>
        <v>0</v>
      </c>
      <c r="I114" s="16">
        <f t="shared" ca="1" si="61"/>
        <v>0</v>
      </c>
      <c r="J114" s="16">
        <f t="shared" ca="1" si="62"/>
        <v>0</v>
      </c>
      <c r="K114" s="16">
        <f t="shared" ca="1" si="63"/>
        <v>0</v>
      </c>
      <c r="L114" s="16">
        <f t="shared" ca="1" si="64"/>
        <v>0</v>
      </c>
      <c r="M114" s="16">
        <f t="shared" ca="1" si="65"/>
        <v>0</v>
      </c>
      <c r="N114" s="16">
        <f t="shared" ca="1" si="66"/>
        <v>0</v>
      </c>
      <c r="O114" s="16">
        <f t="shared" ca="1" si="67"/>
        <v>0</v>
      </c>
      <c r="P114" s="16">
        <f t="shared" ca="1" si="68"/>
        <v>0</v>
      </c>
      <c r="Q114" s="16">
        <f t="shared" ca="1" si="69"/>
        <v>0</v>
      </c>
      <c r="R114" s="16">
        <f t="shared" ca="1" si="70"/>
        <v>0</v>
      </c>
      <c r="S114" s="17">
        <f t="shared" ca="1" si="71"/>
        <v>0</v>
      </c>
    </row>
    <row r="115" spans="1:19" ht="13.8">
      <c r="A115" s="10">
        <f ca="1">IFERROR(__xludf.DUMMYFUNCTION("""COMPUTED_VALUE"""),114)</f>
        <v>114</v>
      </c>
      <c r="B115" s="10" t="str">
        <f t="shared" ca="1" si="54"/>
        <v>CLIP Bosa</v>
      </c>
      <c r="C115" s="11">
        <f t="shared" ca="1" si="55"/>
        <v>45365</v>
      </c>
      <c r="D115" s="16">
        <f t="shared" ca="1" si="56"/>
        <v>0</v>
      </c>
      <c r="E115" s="16">
        <f t="shared" ca="1" si="57"/>
        <v>0</v>
      </c>
      <c r="F115" s="16">
        <f t="shared" ca="1" si="58"/>
        <v>0</v>
      </c>
      <c r="G115" s="16">
        <f t="shared" ca="1" si="59"/>
        <v>0</v>
      </c>
      <c r="H115" s="16">
        <f t="shared" ca="1" si="60"/>
        <v>0</v>
      </c>
      <c r="I115" s="16">
        <f t="shared" ca="1" si="61"/>
        <v>0</v>
      </c>
      <c r="J115" s="16">
        <f t="shared" ca="1" si="62"/>
        <v>0</v>
      </c>
      <c r="K115" s="16">
        <f t="shared" ca="1" si="63"/>
        <v>0</v>
      </c>
      <c r="L115" s="16">
        <f t="shared" ca="1" si="64"/>
        <v>0</v>
      </c>
      <c r="M115" s="16">
        <f t="shared" ca="1" si="65"/>
        <v>0</v>
      </c>
      <c r="N115" s="16">
        <f t="shared" ca="1" si="66"/>
        <v>0</v>
      </c>
      <c r="O115" s="16">
        <f t="shared" ca="1" si="67"/>
        <v>0</v>
      </c>
      <c r="P115" s="16">
        <f t="shared" ca="1" si="68"/>
        <v>0</v>
      </c>
      <c r="Q115" s="16">
        <f t="shared" ca="1" si="69"/>
        <v>0</v>
      </c>
      <c r="R115" s="16">
        <f t="shared" ca="1" si="70"/>
        <v>0</v>
      </c>
      <c r="S115" s="17">
        <f t="shared" ca="1" si="71"/>
        <v>0</v>
      </c>
    </row>
    <row r="116" spans="1:19" ht="13.8">
      <c r="A116" s="10">
        <f ca="1">IFERROR(__xludf.DUMMYFUNCTION("""COMPUTED_VALUE"""),115)</f>
        <v>115</v>
      </c>
      <c r="B116" s="10" t="str">
        <f t="shared" ca="1" si="54"/>
        <v>CLIP Sumapaz</v>
      </c>
      <c r="C116" s="11">
        <f t="shared" ca="1" si="55"/>
        <v>45365</v>
      </c>
      <c r="D116" s="16">
        <f t="shared" ca="1" si="56"/>
        <v>0</v>
      </c>
      <c r="E116" s="16">
        <f t="shared" ca="1" si="57"/>
        <v>0</v>
      </c>
      <c r="F116" s="16">
        <f t="shared" ca="1" si="58"/>
        <v>0</v>
      </c>
      <c r="G116" s="16">
        <f t="shared" ca="1" si="59"/>
        <v>0</v>
      </c>
      <c r="H116" s="16">
        <f t="shared" ca="1" si="60"/>
        <v>0</v>
      </c>
      <c r="I116" s="16">
        <f t="shared" ca="1" si="61"/>
        <v>0</v>
      </c>
      <c r="J116" s="16">
        <f t="shared" ca="1" si="62"/>
        <v>0</v>
      </c>
      <c r="K116" s="16">
        <f t="shared" ca="1" si="63"/>
        <v>0</v>
      </c>
      <c r="L116" s="16">
        <f t="shared" ca="1" si="64"/>
        <v>0</v>
      </c>
      <c r="M116" s="16">
        <f t="shared" ca="1" si="65"/>
        <v>0</v>
      </c>
      <c r="N116" s="16">
        <f t="shared" ca="1" si="66"/>
        <v>0</v>
      </c>
      <c r="O116" s="16">
        <f t="shared" ca="1" si="67"/>
        <v>0</v>
      </c>
      <c r="P116" s="16">
        <f t="shared" ca="1" si="68"/>
        <v>0</v>
      </c>
      <c r="Q116" s="16">
        <f t="shared" ca="1" si="69"/>
        <v>0</v>
      </c>
      <c r="R116" s="16">
        <f t="shared" ca="1" si="70"/>
        <v>0</v>
      </c>
      <c r="S116" s="17">
        <f t="shared" ca="1" si="71"/>
        <v>0</v>
      </c>
    </row>
    <row r="117" spans="1:19" ht="55.2">
      <c r="A117" s="10">
        <f ca="1">IFERROR(__xludf.DUMMYFUNCTION("""COMPUTED_VALUE"""),116)</f>
        <v>116</v>
      </c>
      <c r="B117" s="10" t="str">
        <f t="shared" ca="1" si="54"/>
        <v>Jornada Pégate al Plan: Pedagogía ciudadana para el manejo e implementación de la herramienta chatico - STARTCO</v>
      </c>
      <c r="C117" s="11">
        <f t="shared" ca="1" si="55"/>
        <v>45365</v>
      </c>
      <c r="D117" s="16">
        <f t="shared" ca="1" si="56"/>
        <v>0</v>
      </c>
      <c r="E117" s="16">
        <f t="shared" ca="1" si="57"/>
        <v>0</v>
      </c>
      <c r="F117" s="16">
        <f t="shared" ca="1" si="58"/>
        <v>0</v>
      </c>
      <c r="G117" s="16">
        <f t="shared" ca="1" si="59"/>
        <v>0</v>
      </c>
      <c r="H117" s="16">
        <f t="shared" ca="1" si="60"/>
        <v>0</v>
      </c>
      <c r="I117" s="16">
        <f t="shared" ca="1" si="61"/>
        <v>0</v>
      </c>
      <c r="J117" s="16">
        <f t="shared" ca="1" si="62"/>
        <v>0</v>
      </c>
      <c r="K117" s="16">
        <f t="shared" ca="1" si="63"/>
        <v>0</v>
      </c>
      <c r="L117" s="16">
        <f t="shared" ca="1" si="64"/>
        <v>0</v>
      </c>
      <c r="M117" s="16">
        <f t="shared" ca="1" si="65"/>
        <v>0</v>
      </c>
      <c r="N117" s="16">
        <f t="shared" ca="1" si="66"/>
        <v>0</v>
      </c>
      <c r="O117" s="16">
        <f t="shared" ca="1" si="67"/>
        <v>0</v>
      </c>
      <c r="P117" s="16">
        <f t="shared" ca="1" si="68"/>
        <v>0</v>
      </c>
      <c r="Q117" s="16">
        <f t="shared" ca="1" si="69"/>
        <v>0</v>
      </c>
      <c r="R117" s="16">
        <f t="shared" ca="1" si="70"/>
        <v>0</v>
      </c>
      <c r="S117" s="17">
        <f t="shared" ca="1" si="71"/>
        <v>0</v>
      </c>
    </row>
    <row r="118" spans="1:19" ht="13.8">
      <c r="A118" s="10"/>
      <c r="B118" s="10" t="str">
        <f t="shared" si="54"/>
        <v/>
      </c>
      <c r="C118" s="11" t="str">
        <f t="shared" si="55"/>
        <v/>
      </c>
      <c r="D118" s="16" t="str">
        <f t="shared" si="56"/>
        <v/>
      </c>
      <c r="E118" s="16" t="str">
        <f t="shared" si="57"/>
        <v/>
      </c>
      <c r="F118" s="16" t="str">
        <f t="shared" si="58"/>
        <v/>
      </c>
      <c r="G118" s="16" t="str">
        <f t="shared" si="59"/>
        <v/>
      </c>
      <c r="H118" s="16" t="str">
        <f t="shared" si="60"/>
        <v/>
      </c>
      <c r="I118" s="16" t="str">
        <f t="shared" si="61"/>
        <v/>
      </c>
      <c r="J118" s="16" t="str">
        <f t="shared" si="62"/>
        <v/>
      </c>
      <c r="K118" s="16" t="str">
        <f t="shared" si="63"/>
        <v/>
      </c>
      <c r="L118" s="16" t="str">
        <f t="shared" si="64"/>
        <v/>
      </c>
      <c r="M118" s="16" t="str">
        <f t="shared" si="65"/>
        <v/>
      </c>
      <c r="N118" s="16" t="str">
        <f t="shared" si="66"/>
        <v/>
      </c>
      <c r="O118" s="16" t="str">
        <f t="shared" si="67"/>
        <v/>
      </c>
      <c r="P118" s="16" t="str">
        <f t="shared" si="68"/>
        <v/>
      </c>
      <c r="Q118" s="16" t="str">
        <f t="shared" si="69"/>
        <v/>
      </c>
      <c r="R118" s="16" t="str">
        <f t="shared" si="70"/>
        <v/>
      </c>
      <c r="S118" s="17" t="str">
        <f t="shared" si="71"/>
        <v/>
      </c>
    </row>
    <row r="119" spans="1:19" ht="55.2">
      <c r="A119" s="10">
        <f ca="1">IFERROR(__xludf.DUMMYFUNCTION("""COMPUTED_VALUE"""),118)</f>
        <v>118</v>
      </c>
      <c r="B119" s="10" t="str">
        <f t="shared" ca="1" si="54"/>
        <v>Gestión: Concertación con la Consultiva Indígena de la metodología de participación del PDD</v>
      </c>
      <c r="C119" s="11">
        <f t="shared" ca="1" si="55"/>
        <v>45365</v>
      </c>
      <c r="D119" s="16">
        <f t="shared" ca="1" si="56"/>
        <v>0</v>
      </c>
      <c r="E119" s="16">
        <f t="shared" ca="1" si="57"/>
        <v>0</v>
      </c>
      <c r="F119" s="16">
        <f t="shared" ca="1" si="58"/>
        <v>0</v>
      </c>
      <c r="G119" s="16">
        <f t="shared" ca="1" si="59"/>
        <v>0</v>
      </c>
      <c r="H119" s="16">
        <f t="shared" ca="1" si="60"/>
        <v>0</v>
      </c>
      <c r="I119" s="16">
        <f t="shared" ca="1" si="61"/>
        <v>0</v>
      </c>
      <c r="J119" s="16">
        <f t="shared" ca="1" si="62"/>
        <v>0</v>
      </c>
      <c r="K119" s="16">
        <f t="shared" ca="1" si="63"/>
        <v>0</v>
      </c>
      <c r="L119" s="16">
        <f t="shared" ca="1" si="64"/>
        <v>0</v>
      </c>
      <c r="M119" s="16">
        <f t="shared" ca="1" si="65"/>
        <v>0</v>
      </c>
      <c r="N119" s="16">
        <f t="shared" ca="1" si="66"/>
        <v>0</v>
      </c>
      <c r="O119" s="16">
        <f t="shared" ca="1" si="67"/>
        <v>0</v>
      </c>
      <c r="P119" s="16">
        <f t="shared" ca="1" si="68"/>
        <v>0</v>
      </c>
      <c r="Q119" s="16">
        <f t="shared" ca="1" si="69"/>
        <v>0</v>
      </c>
      <c r="R119" s="16">
        <f t="shared" ca="1" si="70"/>
        <v>0</v>
      </c>
      <c r="S119" s="17">
        <f t="shared" ca="1" si="71"/>
        <v>0</v>
      </c>
    </row>
    <row r="120" spans="1:19" ht="13.8">
      <c r="A120" s="10"/>
      <c r="B120" s="10" t="str">
        <f t="shared" si="54"/>
        <v/>
      </c>
      <c r="C120" s="11" t="str">
        <f t="shared" si="55"/>
        <v/>
      </c>
      <c r="D120" s="16" t="str">
        <f t="shared" si="56"/>
        <v/>
      </c>
      <c r="E120" s="16" t="str">
        <f t="shared" si="57"/>
        <v/>
      </c>
      <c r="F120" s="16" t="str">
        <f t="shared" si="58"/>
        <v/>
      </c>
      <c r="G120" s="16" t="str">
        <f t="shared" si="59"/>
        <v/>
      </c>
      <c r="H120" s="16" t="str">
        <f t="shared" si="60"/>
        <v/>
      </c>
      <c r="I120" s="16" t="str">
        <f t="shared" si="61"/>
        <v/>
      </c>
      <c r="J120" s="16" t="str">
        <f t="shared" si="62"/>
        <v/>
      </c>
      <c r="K120" s="16" t="str">
        <f t="shared" si="63"/>
        <v/>
      </c>
      <c r="L120" s="16" t="str">
        <f t="shared" si="64"/>
        <v/>
      </c>
      <c r="M120" s="16" t="str">
        <f t="shared" si="65"/>
        <v/>
      </c>
      <c r="N120" s="16" t="str">
        <f t="shared" si="66"/>
        <v/>
      </c>
      <c r="O120" s="16" t="str">
        <f t="shared" si="67"/>
        <v/>
      </c>
      <c r="P120" s="16" t="str">
        <f t="shared" si="68"/>
        <v/>
      </c>
      <c r="Q120" s="16" t="str">
        <f t="shared" si="69"/>
        <v/>
      </c>
      <c r="R120" s="16" t="str">
        <f t="shared" si="70"/>
        <v/>
      </c>
      <c r="S120" s="17" t="str">
        <f t="shared" si="71"/>
        <v/>
      </c>
    </row>
    <row r="121" spans="1:19" ht="55.2">
      <c r="A121" s="10">
        <f ca="1">IFERROR(__xludf.DUMMYFUNCTION("""COMPUTED_VALUE"""),120)</f>
        <v>120</v>
      </c>
      <c r="B121" s="10" t="str">
        <f t="shared" ca="1" si="54"/>
        <v>Gestión: Concertación con la Consultiva Raizal de la metodología de participación del PDD</v>
      </c>
      <c r="C121" s="11">
        <f t="shared" ca="1" si="55"/>
        <v>45365</v>
      </c>
      <c r="D121" s="16">
        <f t="shared" ca="1" si="56"/>
        <v>0</v>
      </c>
      <c r="E121" s="16">
        <f t="shared" ca="1" si="57"/>
        <v>0</v>
      </c>
      <c r="F121" s="16">
        <f t="shared" ca="1" si="58"/>
        <v>0</v>
      </c>
      <c r="G121" s="16">
        <f t="shared" ca="1" si="59"/>
        <v>0</v>
      </c>
      <c r="H121" s="16">
        <f t="shared" ca="1" si="60"/>
        <v>0</v>
      </c>
      <c r="I121" s="16">
        <f t="shared" ca="1" si="61"/>
        <v>0</v>
      </c>
      <c r="J121" s="16">
        <f t="shared" ca="1" si="62"/>
        <v>0</v>
      </c>
      <c r="K121" s="16">
        <f t="shared" ca="1" si="63"/>
        <v>0</v>
      </c>
      <c r="L121" s="16">
        <f t="shared" ca="1" si="64"/>
        <v>0</v>
      </c>
      <c r="M121" s="16">
        <f t="shared" ca="1" si="65"/>
        <v>0</v>
      </c>
      <c r="N121" s="16">
        <f t="shared" ca="1" si="66"/>
        <v>0</v>
      </c>
      <c r="O121" s="16">
        <f t="shared" ca="1" si="67"/>
        <v>0</v>
      </c>
      <c r="P121" s="16">
        <f t="shared" ca="1" si="68"/>
        <v>0</v>
      </c>
      <c r="Q121" s="16">
        <f t="shared" ca="1" si="69"/>
        <v>0</v>
      </c>
      <c r="R121" s="16">
        <f t="shared" ca="1" si="70"/>
        <v>0</v>
      </c>
      <c r="S121" s="17">
        <f t="shared" ca="1" si="71"/>
        <v>0</v>
      </c>
    </row>
    <row r="122" spans="1:19" ht="41.4">
      <c r="A122" s="10">
        <f ca="1">IFERROR(__xludf.DUMMYFUNCTION("""COMPUTED_VALUE"""),121)</f>
        <v>121</v>
      </c>
      <c r="B122" s="10" t="str">
        <f t="shared" ca="1" si="54"/>
        <v>Dialogo Ciudadano para la Construcción del PDD - UPL Engativá</v>
      </c>
      <c r="C122" s="11">
        <f t="shared" ca="1" si="55"/>
        <v>45365</v>
      </c>
      <c r="D122" s="16">
        <f t="shared" ca="1" si="56"/>
        <v>0</v>
      </c>
      <c r="E122" s="16">
        <f t="shared" ca="1" si="57"/>
        <v>0</v>
      </c>
      <c r="F122" s="16">
        <f t="shared" ca="1" si="58"/>
        <v>0</v>
      </c>
      <c r="G122" s="16">
        <f t="shared" ca="1" si="59"/>
        <v>0</v>
      </c>
      <c r="H122" s="16">
        <f t="shared" ca="1" si="60"/>
        <v>0</v>
      </c>
      <c r="I122" s="16">
        <f t="shared" ca="1" si="61"/>
        <v>0</v>
      </c>
      <c r="J122" s="16">
        <f t="shared" ca="1" si="62"/>
        <v>0</v>
      </c>
      <c r="K122" s="16">
        <f t="shared" ca="1" si="63"/>
        <v>0</v>
      </c>
      <c r="L122" s="16">
        <f t="shared" ca="1" si="64"/>
        <v>0</v>
      </c>
      <c r="M122" s="16">
        <f t="shared" ca="1" si="65"/>
        <v>0</v>
      </c>
      <c r="N122" s="16">
        <f t="shared" ca="1" si="66"/>
        <v>0</v>
      </c>
      <c r="O122" s="16">
        <f t="shared" ca="1" si="67"/>
        <v>0</v>
      </c>
      <c r="P122" s="16">
        <f t="shared" ca="1" si="68"/>
        <v>0</v>
      </c>
      <c r="Q122" s="16">
        <f t="shared" ca="1" si="69"/>
        <v>0</v>
      </c>
      <c r="R122" s="16">
        <f t="shared" ca="1" si="70"/>
        <v>0</v>
      </c>
      <c r="S122" s="17">
        <f t="shared" ca="1" si="71"/>
        <v>0</v>
      </c>
    </row>
    <row r="123" spans="1:19" ht="27.6">
      <c r="A123" s="10">
        <f ca="1">IFERROR(__xludf.DUMMYFUNCTION("""COMPUTED_VALUE"""),122)</f>
        <v>122</v>
      </c>
      <c r="B123" s="10" t="str">
        <f t="shared" ca="1" si="54"/>
        <v>Comisión de Participación Ordinaria - CTPD</v>
      </c>
      <c r="C123" s="11">
        <f t="shared" ca="1" si="55"/>
        <v>45365</v>
      </c>
      <c r="D123" s="16">
        <f t="shared" ca="1" si="56"/>
        <v>0</v>
      </c>
      <c r="E123" s="16">
        <f t="shared" ca="1" si="57"/>
        <v>0</v>
      </c>
      <c r="F123" s="16">
        <f t="shared" ca="1" si="58"/>
        <v>0</v>
      </c>
      <c r="G123" s="16">
        <f t="shared" ca="1" si="59"/>
        <v>0</v>
      </c>
      <c r="H123" s="16">
        <f t="shared" ca="1" si="60"/>
        <v>0</v>
      </c>
      <c r="I123" s="16">
        <f t="shared" ca="1" si="61"/>
        <v>0</v>
      </c>
      <c r="J123" s="16">
        <f t="shared" ca="1" si="62"/>
        <v>0</v>
      </c>
      <c r="K123" s="16">
        <f t="shared" ca="1" si="63"/>
        <v>0</v>
      </c>
      <c r="L123" s="16">
        <f t="shared" ca="1" si="64"/>
        <v>0</v>
      </c>
      <c r="M123" s="16">
        <f t="shared" ca="1" si="65"/>
        <v>0</v>
      </c>
      <c r="N123" s="16">
        <f t="shared" ca="1" si="66"/>
        <v>0</v>
      </c>
      <c r="O123" s="16">
        <f t="shared" ca="1" si="67"/>
        <v>0</v>
      </c>
      <c r="P123" s="16">
        <f t="shared" ca="1" si="68"/>
        <v>0</v>
      </c>
      <c r="Q123" s="16">
        <f t="shared" ca="1" si="69"/>
        <v>0</v>
      </c>
      <c r="R123" s="16">
        <f t="shared" ca="1" si="70"/>
        <v>0</v>
      </c>
      <c r="S123" s="17">
        <f t="shared" ca="1" si="71"/>
        <v>0</v>
      </c>
    </row>
    <row r="124" spans="1:19" ht="41.4">
      <c r="A124" s="10">
        <f ca="1">IFERROR(__xludf.DUMMYFUNCTION("""COMPUTED_VALUE"""),123)</f>
        <v>123</v>
      </c>
      <c r="B124" s="10" t="str">
        <f t="shared" ca="1" si="54"/>
        <v>Sexto foro virtual con Servidores Públicos para la formulación del PDD - DASCD/SDP</v>
      </c>
      <c r="C124" s="11">
        <f t="shared" ca="1" si="55"/>
        <v>45366</v>
      </c>
      <c r="D124" s="16">
        <f t="shared" ca="1" si="56"/>
        <v>0</v>
      </c>
      <c r="E124" s="16">
        <f t="shared" ca="1" si="57"/>
        <v>0</v>
      </c>
      <c r="F124" s="16">
        <f t="shared" ca="1" si="58"/>
        <v>0</v>
      </c>
      <c r="G124" s="16">
        <f t="shared" ca="1" si="59"/>
        <v>0</v>
      </c>
      <c r="H124" s="16">
        <f t="shared" ca="1" si="60"/>
        <v>0</v>
      </c>
      <c r="I124" s="16">
        <f t="shared" ca="1" si="61"/>
        <v>0</v>
      </c>
      <c r="J124" s="16">
        <f t="shared" ca="1" si="62"/>
        <v>0</v>
      </c>
      <c r="K124" s="16">
        <f t="shared" ca="1" si="63"/>
        <v>0</v>
      </c>
      <c r="L124" s="16">
        <f t="shared" ca="1" si="64"/>
        <v>0</v>
      </c>
      <c r="M124" s="16">
        <f t="shared" ca="1" si="65"/>
        <v>0</v>
      </c>
      <c r="N124" s="16">
        <f t="shared" ca="1" si="66"/>
        <v>0</v>
      </c>
      <c r="O124" s="16">
        <f t="shared" ca="1" si="67"/>
        <v>0</v>
      </c>
      <c r="P124" s="16">
        <f t="shared" ca="1" si="68"/>
        <v>0</v>
      </c>
      <c r="Q124" s="16">
        <f t="shared" ca="1" si="69"/>
        <v>0</v>
      </c>
      <c r="R124" s="16">
        <f t="shared" ca="1" si="70"/>
        <v>0</v>
      </c>
      <c r="S124" s="17">
        <f t="shared" ca="1" si="71"/>
        <v>0</v>
      </c>
    </row>
    <row r="125" spans="1:19" ht="13.8">
      <c r="A125" s="10">
        <f ca="1">IFERROR(__xludf.DUMMYFUNCTION("""COMPUTED_VALUE"""),124)</f>
        <v>124</v>
      </c>
      <c r="B125" s="10" t="str">
        <f t="shared" ca="1" si="54"/>
        <v>Sesión Mesa de Cultura Ciudadana</v>
      </c>
      <c r="C125" s="11">
        <f t="shared" ca="1" si="55"/>
        <v>45366</v>
      </c>
      <c r="D125" s="16">
        <f t="shared" ca="1" si="56"/>
        <v>0</v>
      </c>
      <c r="E125" s="16">
        <f t="shared" ca="1" si="57"/>
        <v>0</v>
      </c>
      <c r="F125" s="16">
        <f t="shared" ca="1" si="58"/>
        <v>0</v>
      </c>
      <c r="G125" s="16">
        <f t="shared" ca="1" si="59"/>
        <v>0</v>
      </c>
      <c r="H125" s="16">
        <f t="shared" ca="1" si="60"/>
        <v>0</v>
      </c>
      <c r="I125" s="16">
        <f t="shared" ca="1" si="61"/>
        <v>0</v>
      </c>
      <c r="J125" s="16">
        <f t="shared" ca="1" si="62"/>
        <v>0</v>
      </c>
      <c r="K125" s="16">
        <f t="shared" ca="1" si="63"/>
        <v>0</v>
      </c>
      <c r="L125" s="16">
        <f t="shared" ca="1" si="64"/>
        <v>0</v>
      </c>
      <c r="M125" s="16">
        <f t="shared" ca="1" si="65"/>
        <v>0</v>
      </c>
      <c r="N125" s="16">
        <f t="shared" ca="1" si="66"/>
        <v>0</v>
      </c>
      <c r="O125" s="16">
        <f t="shared" ca="1" si="67"/>
        <v>0</v>
      </c>
      <c r="P125" s="16">
        <f t="shared" ca="1" si="68"/>
        <v>0</v>
      </c>
      <c r="Q125" s="16">
        <f t="shared" ca="1" si="69"/>
        <v>0</v>
      </c>
      <c r="R125" s="16">
        <f t="shared" ca="1" si="70"/>
        <v>0</v>
      </c>
      <c r="S125" s="17">
        <f t="shared" ca="1" si="71"/>
        <v>0</v>
      </c>
    </row>
    <row r="126" spans="1:19" ht="55.2">
      <c r="A126" s="10">
        <f ca="1">IFERROR(__xludf.DUMMYFUNCTION("""COMPUTED_VALUE"""),125)</f>
        <v>125</v>
      </c>
      <c r="B126" s="10" t="str">
        <f t="shared" ca="1" si="54"/>
        <v>Gestión: Concertación con la Consultiva Rrom - Gitana de la metodología de participación del PDD</v>
      </c>
      <c r="C126" s="11">
        <f t="shared" ca="1" si="55"/>
        <v>45366</v>
      </c>
      <c r="D126" s="16">
        <f t="shared" ca="1" si="56"/>
        <v>0</v>
      </c>
      <c r="E126" s="16">
        <f t="shared" ca="1" si="57"/>
        <v>0</v>
      </c>
      <c r="F126" s="16">
        <f t="shared" ca="1" si="58"/>
        <v>0</v>
      </c>
      <c r="G126" s="16">
        <f t="shared" ca="1" si="59"/>
        <v>0</v>
      </c>
      <c r="H126" s="16">
        <f t="shared" ca="1" si="60"/>
        <v>0</v>
      </c>
      <c r="I126" s="16">
        <f t="shared" ca="1" si="61"/>
        <v>0</v>
      </c>
      <c r="J126" s="16">
        <f t="shared" ca="1" si="62"/>
        <v>0</v>
      </c>
      <c r="K126" s="16">
        <f t="shared" ca="1" si="63"/>
        <v>0</v>
      </c>
      <c r="L126" s="16">
        <f t="shared" ca="1" si="64"/>
        <v>0</v>
      </c>
      <c r="M126" s="16">
        <f t="shared" ca="1" si="65"/>
        <v>0</v>
      </c>
      <c r="N126" s="16">
        <f t="shared" ca="1" si="66"/>
        <v>0</v>
      </c>
      <c r="O126" s="16">
        <f t="shared" ca="1" si="67"/>
        <v>0</v>
      </c>
      <c r="P126" s="16">
        <f t="shared" ca="1" si="68"/>
        <v>0</v>
      </c>
      <c r="Q126" s="16">
        <f t="shared" ca="1" si="69"/>
        <v>0</v>
      </c>
      <c r="R126" s="16">
        <f t="shared" ca="1" si="70"/>
        <v>0</v>
      </c>
      <c r="S126" s="17">
        <f t="shared" ca="1" si="71"/>
        <v>0</v>
      </c>
    </row>
    <row r="127" spans="1:19" ht="55.2">
      <c r="A127" s="10">
        <f ca="1">IFERROR(__xludf.DUMMYFUNCTION("""COMPUTED_VALUE"""),126)</f>
        <v>126</v>
      </c>
      <c r="B127" s="10" t="str">
        <f t="shared" ca="1" si="54"/>
        <v>Jornada Pégate al Plan: Pedagogía ciudadana para el manejo e implementación de la herramienta chatico - STARTCO II</v>
      </c>
      <c r="C127" s="11">
        <f t="shared" ca="1" si="55"/>
        <v>45366</v>
      </c>
      <c r="D127" s="16">
        <f t="shared" ca="1" si="56"/>
        <v>0</v>
      </c>
      <c r="E127" s="16">
        <f t="shared" ca="1" si="57"/>
        <v>0</v>
      </c>
      <c r="F127" s="16">
        <f t="shared" ca="1" si="58"/>
        <v>0</v>
      </c>
      <c r="G127" s="16">
        <f t="shared" ca="1" si="59"/>
        <v>0</v>
      </c>
      <c r="H127" s="16">
        <f t="shared" ca="1" si="60"/>
        <v>0</v>
      </c>
      <c r="I127" s="16">
        <f t="shared" ca="1" si="61"/>
        <v>0</v>
      </c>
      <c r="J127" s="16">
        <f t="shared" ca="1" si="62"/>
        <v>0</v>
      </c>
      <c r="K127" s="16">
        <f t="shared" ca="1" si="63"/>
        <v>0</v>
      </c>
      <c r="L127" s="16">
        <f t="shared" ca="1" si="64"/>
        <v>0</v>
      </c>
      <c r="M127" s="16">
        <f t="shared" ca="1" si="65"/>
        <v>0</v>
      </c>
      <c r="N127" s="16">
        <f t="shared" ca="1" si="66"/>
        <v>0</v>
      </c>
      <c r="O127" s="16">
        <f t="shared" ca="1" si="67"/>
        <v>0</v>
      </c>
      <c r="P127" s="16">
        <f t="shared" ca="1" si="68"/>
        <v>0</v>
      </c>
      <c r="Q127" s="16">
        <f t="shared" ca="1" si="69"/>
        <v>0</v>
      </c>
      <c r="R127" s="16">
        <f t="shared" ca="1" si="70"/>
        <v>0</v>
      </c>
      <c r="S127" s="17">
        <f t="shared" ca="1" si="71"/>
        <v>0</v>
      </c>
    </row>
    <row r="128" spans="1:19" ht="55.2">
      <c r="A128" s="10">
        <f ca="1">IFERROR(__xludf.DUMMYFUNCTION("""COMPUTED_VALUE"""),127)</f>
        <v>127</v>
      </c>
      <c r="B128" s="10" t="str">
        <f t="shared" ca="1" si="54"/>
        <v>Gestión: Concertación con la Consultiva Palenquera de la metodología de participación del PDD</v>
      </c>
      <c r="C128" s="11">
        <f t="shared" ca="1" si="55"/>
        <v>45366</v>
      </c>
      <c r="D128" s="16">
        <f t="shared" ca="1" si="56"/>
        <v>0</v>
      </c>
      <c r="E128" s="16">
        <f t="shared" ca="1" si="57"/>
        <v>0</v>
      </c>
      <c r="F128" s="16">
        <f t="shared" ca="1" si="58"/>
        <v>0</v>
      </c>
      <c r="G128" s="16">
        <f t="shared" ca="1" si="59"/>
        <v>0</v>
      </c>
      <c r="H128" s="16">
        <f t="shared" ca="1" si="60"/>
        <v>0</v>
      </c>
      <c r="I128" s="16">
        <f t="shared" ca="1" si="61"/>
        <v>0</v>
      </c>
      <c r="J128" s="16">
        <f t="shared" ca="1" si="62"/>
        <v>0</v>
      </c>
      <c r="K128" s="16">
        <f t="shared" ca="1" si="63"/>
        <v>0</v>
      </c>
      <c r="L128" s="16">
        <f t="shared" ca="1" si="64"/>
        <v>0</v>
      </c>
      <c r="M128" s="16">
        <f t="shared" ca="1" si="65"/>
        <v>0</v>
      </c>
      <c r="N128" s="16">
        <f t="shared" ca="1" si="66"/>
        <v>0</v>
      </c>
      <c r="O128" s="16">
        <f t="shared" ca="1" si="67"/>
        <v>0</v>
      </c>
      <c r="P128" s="16">
        <f t="shared" ca="1" si="68"/>
        <v>0</v>
      </c>
      <c r="Q128" s="16">
        <f t="shared" ca="1" si="69"/>
        <v>0</v>
      </c>
      <c r="R128" s="16">
        <f t="shared" ca="1" si="70"/>
        <v>0</v>
      </c>
      <c r="S128" s="17">
        <f t="shared" ca="1" si="71"/>
        <v>0</v>
      </c>
    </row>
    <row r="129" spans="1:19" ht="13.8">
      <c r="A129" s="10">
        <f ca="1">IFERROR(__xludf.DUMMYFUNCTION("""COMPUTED_VALUE"""),128)</f>
        <v>128</v>
      </c>
      <c r="B129" s="10" t="str">
        <f t="shared" ca="1" si="54"/>
        <v>Plenaria Extraordinaria - CTPD</v>
      </c>
      <c r="C129" s="11">
        <f t="shared" ca="1" si="55"/>
        <v>45366</v>
      </c>
      <c r="D129" s="16">
        <f t="shared" ca="1" si="56"/>
        <v>0</v>
      </c>
      <c r="E129" s="16">
        <f t="shared" ca="1" si="57"/>
        <v>0</v>
      </c>
      <c r="F129" s="16">
        <f t="shared" ca="1" si="58"/>
        <v>0</v>
      </c>
      <c r="G129" s="16">
        <f t="shared" ca="1" si="59"/>
        <v>0</v>
      </c>
      <c r="H129" s="16">
        <f t="shared" ca="1" si="60"/>
        <v>0</v>
      </c>
      <c r="I129" s="16">
        <f t="shared" ca="1" si="61"/>
        <v>0</v>
      </c>
      <c r="J129" s="16">
        <f t="shared" ca="1" si="62"/>
        <v>0</v>
      </c>
      <c r="K129" s="16">
        <f t="shared" ca="1" si="63"/>
        <v>0</v>
      </c>
      <c r="L129" s="16">
        <f t="shared" ca="1" si="64"/>
        <v>0</v>
      </c>
      <c r="M129" s="16">
        <f t="shared" ca="1" si="65"/>
        <v>0</v>
      </c>
      <c r="N129" s="16">
        <f t="shared" ca="1" si="66"/>
        <v>0</v>
      </c>
      <c r="O129" s="16">
        <f t="shared" ca="1" si="67"/>
        <v>0</v>
      </c>
      <c r="P129" s="16">
        <f t="shared" ca="1" si="68"/>
        <v>0</v>
      </c>
      <c r="Q129" s="16">
        <f t="shared" ca="1" si="69"/>
        <v>0</v>
      </c>
      <c r="R129" s="16">
        <f t="shared" ca="1" si="70"/>
        <v>0</v>
      </c>
      <c r="S129" s="17">
        <f t="shared" ca="1" si="71"/>
        <v>0</v>
      </c>
    </row>
    <row r="130" spans="1:19" ht="41.4">
      <c r="A130" s="10">
        <f ca="1">IFERROR(__xludf.DUMMYFUNCTION("""COMPUTED_VALUE"""),129)</f>
        <v>129</v>
      </c>
      <c r="B130" s="10" t="str">
        <f t="shared" ref="B130:B161" ca="1" si="72">IFERROR(VLOOKUP(A130,DATA_MATRIZ,2,FALSE),"")</f>
        <v>Diálogo con personas cuidadoras de personas con discapacidad (DDSPG)</v>
      </c>
      <c r="C130" s="11">
        <f t="shared" ref="C130:C161" ca="1" si="73">IFERROR(VLOOKUP(A130,DATA_MATRIZ,3,FALSE),"")</f>
        <v>45367</v>
      </c>
      <c r="D130" s="16">
        <f t="shared" ref="D130:D161" ca="1" si="74">IFERROR(VLOOKUP(A130,DATA_MATRIZ,89,FALSE),"")</f>
        <v>0</v>
      </c>
      <c r="E130" s="16">
        <f t="shared" ref="E130:E161" ca="1" si="75">IFERROR(VLOOKUP(A130,DATA_MATRIZ,90,FALSE),"")</f>
        <v>0</v>
      </c>
      <c r="F130" s="16">
        <f t="shared" ref="F130:F161" ca="1" si="76">IFERROR(VLOOKUP(A130,DATA_MATRIZ,96,FALSE),"")</f>
        <v>0</v>
      </c>
      <c r="G130" s="16">
        <f t="shared" ref="G130:G161" ca="1" si="77">IFERROR(VLOOKUP(A130,DATA_MATRIZ,91,FALSE),"")</f>
        <v>0</v>
      </c>
      <c r="H130" s="16">
        <f t="shared" ref="H130:H161" ca="1" si="78">IFERROR(VLOOKUP(A130,DATA_MATRIZ,97,FALSE),"")</f>
        <v>0</v>
      </c>
      <c r="I130" s="16">
        <f t="shared" ref="I130:I161" ca="1" si="79">IFERROR(VLOOKUP(A130,DATA_MATRIZ,92,FALSE),"")</f>
        <v>0</v>
      </c>
      <c r="J130" s="16">
        <f t="shared" ref="J130:J161" ca="1" si="80">IFERROR(VLOOKUP(A130,DATA_MATRIZ,98,FALSE),"")</f>
        <v>0</v>
      </c>
      <c r="K130" s="16">
        <f t="shared" ref="K130:K161" ca="1" si="81">IFERROR(VLOOKUP(A130,DATA_MATRIZ,93,FALSE),"")</f>
        <v>0</v>
      </c>
      <c r="L130" s="16">
        <f t="shared" ref="L130:L161" ca="1" si="82">IFERROR(VLOOKUP(A130,DATA_MATRIZ,99,FALSE),"")</f>
        <v>0</v>
      </c>
      <c r="M130" s="16">
        <f t="shared" ref="M130:M161" ca="1" si="83">IFERROR(VLOOKUP(A130,DATA_MATRIZ,94,FALSE),"")</f>
        <v>0</v>
      </c>
      <c r="N130" s="16">
        <f t="shared" ref="N130:N161" ca="1" si="84">IFERROR(VLOOKUP(A130,DATA_MATRIZ,100,FALSE),"")</f>
        <v>0</v>
      </c>
      <c r="O130" s="16">
        <f t="shared" ref="O130:O161" ca="1" si="85">IFERROR(VLOOKUP(A130,DATA_MATRIZ,95,FALSE),"")</f>
        <v>0</v>
      </c>
      <c r="P130" s="16">
        <f t="shared" ref="P130:P161" ca="1" si="86">IFERROR(VLOOKUP(A130,DATA_MATRIZ,101,FALSE),"")</f>
        <v>0</v>
      </c>
      <c r="Q130" s="16">
        <f t="shared" ref="Q130:Q157" ca="1" si="87">IFERROR(VLOOKUP(A130,DATA_MATRIZ,103,FALSE),"")</f>
        <v>0</v>
      </c>
      <c r="R130" s="16">
        <f t="shared" ref="R130:R157" ca="1" si="88">IFERROR(VLOOKUP(A130,DATA_MATRIZ,105,FALSE),"")</f>
        <v>0</v>
      </c>
      <c r="S130" s="17">
        <f t="shared" ref="S130:S157" ca="1" si="89">IFERROR(VLOOKUP(A130,DATA_MATRIZ,106,FALSE),"")</f>
        <v>0</v>
      </c>
    </row>
    <row r="131" spans="1:19" ht="41.4">
      <c r="A131" s="10">
        <f ca="1">IFERROR(__xludf.DUMMYFUNCTION("""COMPUTED_VALUE"""),130)</f>
        <v>130</v>
      </c>
      <c r="B131" s="10" t="str">
        <f t="shared" ca="1" si="72"/>
        <v>Dialogo Ciudadano para la Construcción del PDD - UPL Kennedy</v>
      </c>
      <c r="C131" s="11">
        <f t="shared" ca="1" si="73"/>
        <v>45367</v>
      </c>
      <c r="D131" s="16">
        <f t="shared" ca="1" si="74"/>
        <v>0</v>
      </c>
      <c r="E131" s="16">
        <f t="shared" ca="1" si="75"/>
        <v>0</v>
      </c>
      <c r="F131" s="16">
        <f t="shared" ca="1" si="76"/>
        <v>0</v>
      </c>
      <c r="G131" s="16">
        <f t="shared" ca="1" si="77"/>
        <v>0</v>
      </c>
      <c r="H131" s="16">
        <f t="shared" ca="1" si="78"/>
        <v>0</v>
      </c>
      <c r="I131" s="16">
        <f t="shared" ca="1" si="79"/>
        <v>0</v>
      </c>
      <c r="J131" s="16">
        <f t="shared" ca="1" si="80"/>
        <v>0</v>
      </c>
      <c r="K131" s="16">
        <f t="shared" ca="1" si="81"/>
        <v>0</v>
      </c>
      <c r="L131" s="16">
        <f t="shared" ca="1" si="82"/>
        <v>0</v>
      </c>
      <c r="M131" s="16">
        <f t="shared" ca="1" si="83"/>
        <v>0</v>
      </c>
      <c r="N131" s="16">
        <f t="shared" ca="1" si="84"/>
        <v>0</v>
      </c>
      <c r="O131" s="16">
        <f t="shared" ca="1" si="85"/>
        <v>0</v>
      </c>
      <c r="P131" s="16">
        <f t="shared" ca="1" si="86"/>
        <v>0</v>
      </c>
      <c r="Q131" s="16">
        <f t="shared" ca="1" si="87"/>
        <v>0</v>
      </c>
      <c r="R131" s="16">
        <f t="shared" ca="1" si="88"/>
        <v>0</v>
      </c>
      <c r="S131" s="17">
        <f t="shared" ca="1" si="89"/>
        <v>0</v>
      </c>
    </row>
    <row r="132" spans="1:19" ht="55.2">
      <c r="A132" s="10">
        <f ca="1">IFERROR(__xludf.DUMMYFUNCTION("""COMPUTED_VALUE"""),131)</f>
        <v>131</v>
      </c>
      <c r="B132" s="10" t="str">
        <f t="shared" ca="1" si="72"/>
        <v>Dialogo Ciudadano para la Construcción del PDD - UPL Cerros Orientales -  Sector San Luis y La Sureña</v>
      </c>
      <c r="C132" s="11">
        <f t="shared" ca="1" si="73"/>
        <v>45367</v>
      </c>
      <c r="D132" s="16">
        <f t="shared" ca="1" si="74"/>
        <v>0</v>
      </c>
      <c r="E132" s="16">
        <f t="shared" ca="1" si="75"/>
        <v>0</v>
      </c>
      <c r="F132" s="16">
        <f t="shared" ca="1" si="76"/>
        <v>0</v>
      </c>
      <c r="G132" s="16">
        <f t="shared" ca="1" si="77"/>
        <v>0</v>
      </c>
      <c r="H132" s="16">
        <f t="shared" ca="1" si="78"/>
        <v>0</v>
      </c>
      <c r="I132" s="16">
        <f t="shared" ca="1" si="79"/>
        <v>0</v>
      </c>
      <c r="J132" s="16">
        <f t="shared" ca="1" si="80"/>
        <v>0</v>
      </c>
      <c r="K132" s="16">
        <f t="shared" ca="1" si="81"/>
        <v>0</v>
      </c>
      <c r="L132" s="16">
        <f t="shared" ca="1" si="82"/>
        <v>0</v>
      </c>
      <c r="M132" s="16">
        <f t="shared" ca="1" si="83"/>
        <v>0</v>
      </c>
      <c r="N132" s="16">
        <f t="shared" ca="1" si="84"/>
        <v>0</v>
      </c>
      <c r="O132" s="16">
        <f t="shared" ca="1" si="85"/>
        <v>0</v>
      </c>
      <c r="P132" s="16">
        <f t="shared" ca="1" si="86"/>
        <v>0</v>
      </c>
      <c r="Q132" s="16">
        <f t="shared" ca="1" si="87"/>
        <v>0</v>
      </c>
      <c r="R132" s="16">
        <f t="shared" ca="1" si="88"/>
        <v>0</v>
      </c>
      <c r="S132" s="17">
        <f t="shared" ca="1" si="89"/>
        <v>0</v>
      </c>
    </row>
    <row r="133" spans="1:19" ht="41.4">
      <c r="A133" s="10">
        <f ca="1">IFERROR(__xludf.DUMMYFUNCTION("""COMPUTED_VALUE"""),132)</f>
        <v>132</v>
      </c>
      <c r="B133" s="10" t="str">
        <f t="shared" ca="1" si="72"/>
        <v>Dialogo Ciudadano para la Construcción del PDD - UPL Cerros Orientales -  Verjones</v>
      </c>
      <c r="C133" s="11">
        <f t="shared" ca="1" si="73"/>
        <v>45367</v>
      </c>
      <c r="D133" s="16">
        <f t="shared" ca="1" si="74"/>
        <v>0</v>
      </c>
      <c r="E133" s="16">
        <f t="shared" ca="1" si="75"/>
        <v>0</v>
      </c>
      <c r="F133" s="16">
        <f t="shared" ca="1" si="76"/>
        <v>0</v>
      </c>
      <c r="G133" s="16">
        <f t="shared" ca="1" si="77"/>
        <v>0</v>
      </c>
      <c r="H133" s="16">
        <f t="shared" ca="1" si="78"/>
        <v>0</v>
      </c>
      <c r="I133" s="16">
        <f t="shared" ca="1" si="79"/>
        <v>0</v>
      </c>
      <c r="J133" s="16">
        <f t="shared" ca="1" si="80"/>
        <v>0</v>
      </c>
      <c r="K133" s="16">
        <f t="shared" ca="1" si="81"/>
        <v>0</v>
      </c>
      <c r="L133" s="16">
        <f t="shared" ca="1" si="82"/>
        <v>0</v>
      </c>
      <c r="M133" s="16">
        <f t="shared" ca="1" si="83"/>
        <v>0</v>
      </c>
      <c r="N133" s="16">
        <f t="shared" ca="1" si="84"/>
        <v>0</v>
      </c>
      <c r="O133" s="16">
        <f t="shared" ca="1" si="85"/>
        <v>0</v>
      </c>
      <c r="P133" s="16">
        <f t="shared" ca="1" si="86"/>
        <v>0</v>
      </c>
      <c r="Q133" s="16">
        <f t="shared" ca="1" si="87"/>
        <v>0</v>
      </c>
      <c r="R133" s="16">
        <f t="shared" ca="1" si="88"/>
        <v>0</v>
      </c>
      <c r="S133" s="17">
        <f t="shared" ca="1" si="89"/>
        <v>0</v>
      </c>
    </row>
    <row r="134" spans="1:19" ht="41.4">
      <c r="A134" s="10">
        <f ca="1">IFERROR(__xludf.DUMMYFUNCTION("""COMPUTED_VALUE"""),133)</f>
        <v>133</v>
      </c>
      <c r="B134" s="10" t="str">
        <f t="shared" ca="1" si="72"/>
        <v>Jornada Pégate al Plan: Pedagogía ciudadana para el manejo de la herramienta chatico - Alimentarte</v>
      </c>
      <c r="C134" s="11">
        <f t="shared" ca="1" si="73"/>
        <v>45367</v>
      </c>
      <c r="D134" s="16">
        <f t="shared" ca="1" si="74"/>
        <v>0</v>
      </c>
      <c r="E134" s="16">
        <f t="shared" ca="1" si="75"/>
        <v>0</v>
      </c>
      <c r="F134" s="16">
        <f t="shared" ca="1" si="76"/>
        <v>0</v>
      </c>
      <c r="G134" s="16">
        <f t="shared" ca="1" si="77"/>
        <v>0</v>
      </c>
      <c r="H134" s="16">
        <f t="shared" ca="1" si="78"/>
        <v>0</v>
      </c>
      <c r="I134" s="16">
        <f t="shared" ca="1" si="79"/>
        <v>0</v>
      </c>
      <c r="J134" s="16">
        <f t="shared" ca="1" si="80"/>
        <v>0</v>
      </c>
      <c r="K134" s="16">
        <f t="shared" ca="1" si="81"/>
        <v>0</v>
      </c>
      <c r="L134" s="16">
        <f t="shared" ca="1" si="82"/>
        <v>0</v>
      </c>
      <c r="M134" s="16">
        <f t="shared" ca="1" si="83"/>
        <v>0</v>
      </c>
      <c r="N134" s="16">
        <f t="shared" ca="1" si="84"/>
        <v>0</v>
      </c>
      <c r="O134" s="16">
        <f t="shared" ca="1" si="85"/>
        <v>0</v>
      </c>
      <c r="P134" s="16">
        <f t="shared" ca="1" si="86"/>
        <v>0</v>
      </c>
      <c r="Q134" s="16">
        <f t="shared" ca="1" si="87"/>
        <v>0</v>
      </c>
      <c r="R134" s="16">
        <f t="shared" ca="1" si="88"/>
        <v>0</v>
      </c>
      <c r="S134" s="17">
        <f t="shared" ca="1" si="89"/>
        <v>0</v>
      </c>
    </row>
    <row r="135" spans="1:19" ht="55.2">
      <c r="A135" s="10">
        <f ca="1">IFERROR(__xludf.DUMMYFUNCTION("""COMPUTED_VALUE"""),134)</f>
        <v>134</v>
      </c>
      <c r="B135" s="10" t="str">
        <f t="shared" ca="1" si="72"/>
        <v>Jornada Pégate al Plan: Pedagogía ciudadana para el manejo e implementación de la herramienta chatico - Parkway</v>
      </c>
      <c r="C135" s="11">
        <f t="shared" ca="1" si="73"/>
        <v>45368</v>
      </c>
      <c r="D135" s="16">
        <f t="shared" ca="1" si="74"/>
        <v>0</v>
      </c>
      <c r="E135" s="16">
        <f t="shared" ca="1" si="75"/>
        <v>0</v>
      </c>
      <c r="F135" s="16">
        <f t="shared" ca="1" si="76"/>
        <v>0</v>
      </c>
      <c r="G135" s="16">
        <f t="shared" ca="1" si="77"/>
        <v>0</v>
      </c>
      <c r="H135" s="16">
        <f t="shared" ca="1" si="78"/>
        <v>0</v>
      </c>
      <c r="I135" s="16">
        <f t="shared" ca="1" si="79"/>
        <v>0</v>
      </c>
      <c r="J135" s="16">
        <f t="shared" ca="1" si="80"/>
        <v>0</v>
      </c>
      <c r="K135" s="16">
        <f t="shared" ca="1" si="81"/>
        <v>0</v>
      </c>
      <c r="L135" s="16">
        <f t="shared" ca="1" si="82"/>
        <v>0</v>
      </c>
      <c r="M135" s="16">
        <f t="shared" ca="1" si="83"/>
        <v>0</v>
      </c>
      <c r="N135" s="16">
        <f t="shared" ca="1" si="84"/>
        <v>0</v>
      </c>
      <c r="O135" s="16">
        <f t="shared" ca="1" si="85"/>
        <v>0</v>
      </c>
      <c r="P135" s="16">
        <f t="shared" ca="1" si="86"/>
        <v>0</v>
      </c>
      <c r="Q135" s="16">
        <f t="shared" ca="1" si="87"/>
        <v>0</v>
      </c>
      <c r="R135" s="16">
        <f t="shared" ca="1" si="88"/>
        <v>0</v>
      </c>
      <c r="S135" s="17">
        <f t="shared" ca="1" si="89"/>
        <v>0</v>
      </c>
    </row>
    <row r="136" spans="1:19" ht="69">
      <c r="A136" s="10">
        <f ca="1">IFERROR(__xludf.DUMMYFUNCTION("""COMPUTED_VALUE"""),135)</f>
        <v>135</v>
      </c>
      <c r="B136" s="10" t="str">
        <f t="shared" ca="1" si="72"/>
        <v>Jornada Pégate al Plan: Pedagogía ciudadana para el manejo e implementación de la herramienta chatico - Conmemoración del día de la Mujer Sumapaceña</v>
      </c>
      <c r="C136" s="11">
        <f t="shared" ca="1" si="73"/>
        <v>45368</v>
      </c>
      <c r="D136" s="16">
        <f t="shared" ca="1" si="74"/>
        <v>0</v>
      </c>
      <c r="E136" s="16">
        <f t="shared" ca="1" si="75"/>
        <v>0</v>
      </c>
      <c r="F136" s="16">
        <f t="shared" ca="1" si="76"/>
        <v>0</v>
      </c>
      <c r="G136" s="16">
        <f t="shared" ca="1" si="77"/>
        <v>0</v>
      </c>
      <c r="H136" s="16">
        <f t="shared" ca="1" si="78"/>
        <v>0</v>
      </c>
      <c r="I136" s="16">
        <f t="shared" ca="1" si="79"/>
        <v>0</v>
      </c>
      <c r="J136" s="16">
        <f t="shared" ca="1" si="80"/>
        <v>0</v>
      </c>
      <c r="K136" s="16">
        <f t="shared" ca="1" si="81"/>
        <v>0</v>
      </c>
      <c r="L136" s="16">
        <f t="shared" ca="1" si="82"/>
        <v>0</v>
      </c>
      <c r="M136" s="16">
        <f t="shared" ca="1" si="83"/>
        <v>0</v>
      </c>
      <c r="N136" s="16">
        <f t="shared" ca="1" si="84"/>
        <v>0</v>
      </c>
      <c r="O136" s="16">
        <f t="shared" ca="1" si="85"/>
        <v>0</v>
      </c>
      <c r="P136" s="16">
        <f t="shared" ca="1" si="86"/>
        <v>0</v>
      </c>
      <c r="Q136" s="16">
        <f t="shared" ca="1" si="87"/>
        <v>0</v>
      </c>
      <c r="R136" s="16">
        <f t="shared" ca="1" si="88"/>
        <v>0</v>
      </c>
      <c r="S136" s="17">
        <f t="shared" ca="1" si="89"/>
        <v>0</v>
      </c>
    </row>
    <row r="137" spans="1:19" ht="13.8">
      <c r="A137" s="10"/>
      <c r="B137" s="10" t="str">
        <f t="shared" si="72"/>
        <v/>
      </c>
      <c r="C137" s="11" t="str">
        <f t="shared" si="73"/>
        <v/>
      </c>
      <c r="D137" s="16" t="str">
        <f t="shared" si="74"/>
        <v/>
      </c>
      <c r="E137" s="16" t="str">
        <f t="shared" si="75"/>
        <v/>
      </c>
      <c r="F137" s="16" t="str">
        <f t="shared" si="76"/>
        <v/>
      </c>
      <c r="G137" s="16" t="str">
        <f t="shared" si="77"/>
        <v/>
      </c>
      <c r="H137" s="16" t="str">
        <f t="shared" si="78"/>
        <v/>
      </c>
      <c r="I137" s="16" t="str">
        <f t="shared" si="79"/>
        <v/>
      </c>
      <c r="J137" s="16" t="str">
        <f t="shared" si="80"/>
        <v/>
      </c>
      <c r="K137" s="16" t="str">
        <f t="shared" si="81"/>
        <v/>
      </c>
      <c r="L137" s="16" t="str">
        <f t="shared" si="82"/>
        <v/>
      </c>
      <c r="M137" s="16" t="str">
        <f t="shared" si="83"/>
        <v/>
      </c>
      <c r="N137" s="16" t="str">
        <f t="shared" si="84"/>
        <v/>
      </c>
      <c r="O137" s="16" t="str">
        <f t="shared" si="85"/>
        <v/>
      </c>
      <c r="P137" s="16" t="str">
        <f t="shared" si="86"/>
        <v/>
      </c>
      <c r="Q137" s="16" t="str">
        <f t="shared" si="87"/>
        <v/>
      </c>
      <c r="R137" s="16" t="str">
        <f t="shared" si="88"/>
        <v/>
      </c>
      <c r="S137" s="17" t="str">
        <f t="shared" si="89"/>
        <v/>
      </c>
    </row>
    <row r="138" spans="1:19" ht="41.4">
      <c r="A138" s="10">
        <f ca="1">IFERROR(__xludf.DUMMYFUNCTION("""COMPUTED_VALUE"""),137)</f>
        <v>137</v>
      </c>
      <c r="B138" s="10" t="str">
        <f t="shared" ca="1" si="72"/>
        <v>Gestión: Taller del Plan de desarrollo Distrital -Funcionarios de la Veeduria Distrital.</v>
      </c>
      <c r="C138" s="11">
        <f t="shared" ca="1" si="73"/>
        <v>45369</v>
      </c>
      <c r="D138" s="16">
        <f t="shared" ca="1" si="74"/>
        <v>0</v>
      </c>
      <c r="E138" s="16">
        <f t="shared" ca="1" si="75"/>
        <v>0</v>
      </c>
      <c r="F138" s="16">
        <f t="shared" ca="1" si="76"/>
        <v>0</v>
      </c>
      <c r="G138" s="16">
        <f t="shared" ca="1" si="77"/>
        <v>0</v>
      </c>
      <c r="H138" s="16">
        <f t="shared" ca="1" si="78"/>
        <v>0</v>
      </c>
      <c r="I138" s="16">
        <f t="shared" ca="1" si="79"/>
        <v>0</v>
      </c>
      <c r="J138" s="16">
        <f t="shared" ca="1" si="80"/>
        <v>0</v>
      </c>
      <c r="K138" s="16">
        <f t="shared" ca="1" si="81"/>
        <v>0</v>
      </c>
      <c r="L138" s="16">
        <f t="shared" ca="1" si="82"/>
        <v>0</v>
      </c>
      <c r="M138" s="16">
        <f t="shared" ca="1" si="83"/>
        <v>0</v>
      </c>
      <c r="N138" s="16">
        <f t="shared" ca="1" si="84"/>
        <v>0</v>
      </c>
      <c r="O138" s="16">
        <f t="shared" ca="1" si="85"/>
        <v>0</v>
      </c>
      <c r="P138" s="16">
        <f t="shared" ca="1" si="86"/>
        <v>0</v>
      </c>
      <c r="Q138" s="16">
        <f t="shared" ca="1" si="87"/>
        <v>0</v>
      </c>
      <c r="R138" s="16">
        <f t="shared" ca="1" si="88"/>
        <v>0</v>
      </c>
      <c r="S138" s="17">
        <f t="shared" ca="1" si="89"/>
        <v>0</v>
      </c>
    </row>
    <row r="139" spans="1:19" ht="13.8">
      <c r="A139" s="10"/>
      <c r="B139" s="10" t="str">
        <f t="shared" si="72"/>
        <v/>
      </c>
      <c r="C139" s="11" t="str">
        <f t="shared" si="73"/>
        <v/>
      </c>
      <c r="D139" s="16" t="str">
        <f t="shared" si="74"/>
        <v/>
      </c>
      <c r="E139" s="16" t="str">
        <f t="shared" si="75"/>
        <v/>
      </c>
      <c r="F139" s="16" t="str">
        <f t="shared" si="76"/>
        <v/>
      </c>
      <c r="G139" s="16" t="str">
        <f t="shared" si="77"/>
        <v/>
      </c>
      <c r="H139" s="16" t="str">
        <f t="shared" si="78"/>
        <v/>
      </c>
      <c r="I139" s="16" t="str">
        <f t="shared" si="79"/>
        <v/>
      </c>
      <c r="J139" s="16" t="str">
        <f t="shared" si="80"/>
        <v/>
      </c>
      <c r="K139" s="16" t="str">
        <f t="shared" si="81"/>
        <v/>
      </c>
      <c r="L139" s="16" t="str">
        <f t="shared" si="82"/>
        <v/>
      </c>
      <c r="M139" s="16" t="str">
        <f t="shared" si="83"/>
        <v/>
      </c>
      <c r="N139" s="16" t="str">
        <f t="shared" si="84"/>
        <v/>
      </c>
      <c r="O139" s="16" t="str">
        <f t="shared" si="85"/>
        <v/>
      </c>
      <c r="P139" s="16" t="str">
        <f t="shared" si="86"/>
        <v/>
      </c>
      <c r="Q139" s="16" t="str">
        <f t="shared" si="87"/>
        <v/>
      </c>
      <c r="R139" s="16" t="str">
        <f t="shared" si="88"/>
        <v/>
      </c>
      <c r="S139" s="17" t="str">
        <f t="shared" si="89"/>
        <v/>
      </c>
    </row>
    <row r="140" spans="1:19" ht="13.8">
      <c r="A140" s="10"/>
      <c r="B140" s="10" t="str">
        <f t="shared" si="72"/>
        <v/>
      </c>
      <c r="C140" s="11" t="str">
        <f t="shared" si="73"/>
        <v/>
      </c>
      <c r="D140" s="16" t="str">
        <f t="shared" si="74"/>
        <v/>
      </c>
      <c r="E140" s="16" t="str">
        <f t="shared" si="75"/>
        <v/>
      </c>
      <c r="F140" s="16" t="str">
        <f t="shared" si="76"/>
        <v/>
      </c>
      <c r="G140" s="16" t="str">
        <f t="shared" si="77"/>
        <v/>
      </c>
      <c r="H140" s="16" t="str">
        <f t="shared" si="78"/>
        <v/>
      </c>
      <c r="I140" s="16" t="str">
        <f t="shared" si="79"/>
        <v/>
      </c>
      <c r="J140" s="16" t="str">
        <f t="shared" si="80"/>
        <v/>
      </c>
      <c r="K140" s="16" t="str">
        <f t="shared" si="81"/>
        <v/>
      </c>
      <c r="L140" s="16" t="str">
        <f t="shared" si="82"/>
        <v/>
      </c>
      <c r="M140" s="16" t="str">
        <f t="shared" si="83"/>
        <v/>
      </c>
      <c r="N140" s="16" t="str">
        <f t="shared" si="84"/>
        <v/>
      </c>
      <c r="O140" s="16" t="str">
        <f t="shared" si="85"/>
        <v/>
      </c>
      <c r="P140" s="16" t="str">
        <f t="shared" si="86"/>
        <v/>
      </c>
      <c r="Q140" s="16" t="str">
        <f t="shared" si="87"/>
        <v/>
      </c>
      <c r="R140" s="16" t="str">
        <f t="shared" si="88"/>
        <v/>
      </c>
      <c r="S140" s="17" t="str">
        <f t="shared" si="89"/>
        <v/>
      </c>
    </row>
    <row r="141" spans="1:19" ht="41.4">
      <c r="A141" s="10">
        <f ca="1">IFERROR(__xludf.DUMMYFUNCTION("""COMPUTED_VALUE"""),140)</f>
        <v>140</v>
      </c>
      <c r="B141" s="10" t="str">
        <f t="shared" ca="1" si="72"/>
        <v>Gestión: II Revisión de instrumento y articulación -  Dirección de Estratificación</v>
      </c>
      <c r="C141" s="11">
        <f t="shared" ca="1" si="73"/>
        <v>45369</v>
      </c>
      <c r="D141" s="16">
        <f t="shared" ca="1" si="74"/>
        <v>0</v>
      </c>
      <c r="E141" s="16">
        <f t="shared" ca="1" si="75"/>
        <v>0</v>
      </c>
      <c r="F141" s="16">
        <f t="shared" ca="1" si="76"/>
        <v>0</v>
      </c>
      <c r="G141" s="16">
        <f t="shared" ca="1" si="77"/>
        <v>0</v>
      </c>
      <c r="H141" s="16">
        <f t="shared" ca="1" si="78"/>
        <v>0</v>
      </c>
      <c r="I141" s="16">
        <f t="shared" ca="1" si="79"/>
        <v>0</v>
      </c>
      <c r="J141" s="16">
        <f t="shared" ca="1" si="80"/>
        <v>0</v>
      </c>
      <c r="K141" s="16">
        <f t="shared" ca="1" si="81"/>
        <v>0</v>
      </c>
      <c r="L141" s="16">
        <f t="shared" ca="1" si="82"/>
        <v>0</v>
      </c>
      <c r="M141" s="16">
        <f t="shared" ca="1" si="83"/>
        <v>0</v>
      </c>
      <c r="N141" s="16">
        <f t="shared" ca="1" si="84"/>
        <v>0</v>
      </c>
      <c r="O141" s="16">
        <f t="shared" ca="1" si="85"/>
        <v>0</v>
      </c>
      <c r="P141" s="16">
        <f t="shared" ca="1" si="86"/>
        <v>0</v>
      </c>
      <c r="Q141" s="16">
        <f t="shared" ca="1" si="87"/>
        <v>0</v>
      </c>
      <c r="R141" s="16">
        <f t="shared" ca="1" si="88"/>
        <v>0</v>
      </c>
      <c r="S141" s="17">
        <f t="shared" ca="1" si="89"/>
        <v>0</v>
      </c>
    </row>
    <row r="142" spans="1:19" ht="41.4">
      <c r="A142" s="10">
        <f ca="1">IFERROR(__xludf.DUMMYFUNCTION("""COMPUTED_VALUE"""),141)</f>
        <v>141</v>
      </c>
      <c r="B142" s="10" t="str">
        <f t="shared" ca="1" si="72"/>
        <v>Dialogo Ciudadano para la Construcción del PDD - UPL Chapinero</v>
      </c>
      <c r="C142" s="11">
        <f t="shared" ca="1" si="73"/>
        <v>45369</v>
      </c>
      <c r="D142" s="16">
        <f t="shared" ca="1" si="74"/>
        <v>0</v>
      </c>
      <c r="E142" s="16">
        <f t="shared" ca="1" si="75"/>
        <v>0</v>
      </c>
      <c r="F142" s="16">
        <f t="shared" ca="1" si="76"/>
        <v>0</v>
      </c>
      <c r="G142" s="16">
        <f t="shared" ca="1" si="77"/>
        <v>0</v>
      </c>
      <c r="H142" s="16">
        <f t="shared" ca="1" si="78"/>
        <v>0</v>
      </c>
      <c r="I142" s="16">
        <f t="shared" ca="1" si="79"/>
        <v>0</v>
      </c>
      <c r="J142" s="16">
        <f t="shared" ca="1" si="80"/>
        <v>0</v>
      </c>
      <c r="K142" s="16">
        <f t="shared" ca="1" si="81"/>
        <v>0</v>
      </c>
      <c r="L142" s="16">
        <f t="shared" ca="1" si="82"/>
        <v>0</v>
      </c>
      <c r="M142" s="16">
        <f t="shared" ca="1" si="83"/>
        <v>0</v>
      </c>
      <c r="N142" s="16">
        <f t="shared" ca="1" si="84"/>
        <v>0</v>
      </c>
      <c r="O142" s="16">
        <f t="shared" ca="1" si="85"/>
        <v>0</v>
      </c>
      <c r="P142" s="16">
        <f t="shared" ca="1" si="86"/>
        <v>0</v>
      </c>
      <c r="Q142" s="16">
        <f t="shared" ca="1" si="87"/>
        <v>0</v>
      </c>
      <c r="R142" s="16">
        <f t="shared" ca="1" si="88"/>
        <v>0</v>
      </c>
      <c r="S142" s="17">
        <f t="shared" ca="1" si="89"/>
        <v>0</v>
      </c>
    </row>
    <row r="143" spans="1:19" ht="27.6">
      <c r="A143" s="10">
        <f ca="1">IFERROR(__xludf.DUMMYFUNCTION("""COMPUTED_VALUE"""),142)</f>
        <v>142</v>
      </c>
      <c r="B143" s="10" t="str">
        <f t="shared" ca="1" si="72"/>
        <v>Plenaria Permantente Extraordinaria - CTPD</v>
      </c>
      <c r="C143" s="11">
        <f t="shared" ca="1" si="73"/>
        <v>45369</v>
      </c>
      <c r="D143" s="16">
        <f t="shared" ca="1" si="74"/>
        <v>0</v>
      </c>
      <c r="E143" s="16">
        <f t="shared" ca="1" si="75"/>
        <v>0</v>
      </c>
      <c r="F143" s="16">
        <f t="shared" ca="1" si="76"/>
        <v>0</v>
      </c>
      <c r="G143" s="16">
        <f t="shared" ca="1" si="77"/>
        <v>0</v>
      </c>
      <c r="H143" s="16">
        <f t="shared" ca="1" si="78"/>
        <v>0</v>
      </c>
      <c r="I143" s="16">
        <f t="shared" ca="1" si="79"/>
        <v>0</v>
      </c>
      <c r="J143" s="16">
        <f t="shared" ca="1" si="80"/>
        <v>0</v>
      </c>
      <c r="K143" s="16">
        <f t="shared" ca="1" si="81"/>
        <v>0</v>
      </c>
      <c r="L143" s="16">
        <f t="shared" ca="1" si="82"/>
        <v>0</v>
      </c>
      <c r="M143" s="16">
        <f t="shared" ca="1" si="83"/>
        <v>0</v>
      </c>
      <c r="N143" s="16">
        <f t="shared" ca="1" si="84"/>
        <v>0</v>
      </c>
      <c r="O143" s="16">
        <f t="shared" ca="1" si="85"/>
        <v>0</v>
      </c>
      <c r="P143" s="16">
        <f t="shared" ca="1" si="86"/>
        <v>0</v>
      </c>
      <c r="Q143" s="16">
        <f t="shared" ca="1" si="87"/>
        <v>0</v>
      </c>
      <c r="R143" s="16">
        <f t="shared" ca="1" si="88"/>
        <v>0</v>
      </c>
      <c r="S143" s="17">
        <f t="shared" ca="1" si="89"/>
        <v>0</v>
      </c>
    </row>
    <row r="144" spans="1:19" ht="55.2">
      <c r="A144" s="10">
        <f ca="1">IFERROR(__xludf.DUMMYFUNCTION("""COMPUTED_VALUE"""),143)</f>
        <v>143</v>
      </c>
      <c r="B144" s="10" t="str">
        <f t="shared" ca="1" si="72"/>
        <v>I Diálogo Ciudadano Poblacional para la Construcción del PDD - Taller Niños, Niñas y Adolescentes - SED-SDP</v>
      </c>
      <c r="C144" s="11">
        <f t="shared" ca="1" si="73"/>
        <v>45370</v>
      </c>
      <c r="D144" s="16">
        <f t="shared" ca="1" si="74"/>
        <v>0</v>
      </c>
      <c r="E144" s="16">
        <f t="shared" ca="1" si="75"/>
        <v>0</v>
      </c>
      <c r="F144" s="16">
        <f t="shared" ca="1" si="76"/>
        <v>0</v>
      </c>
      <c r="G144" s="16">
        <f t="shared" ca="1" si="77"/>
        <v>0</v>
      </c>
      <c r="H144" s="16">
        <f t="shared" ca="1" si="78"/>
        <v>0</v>
      </c>
      <c r="I144" s="16">
        <f t="shared" ca="1" si="79"/>
        <v>0</v>
      </c>
      <c r="J144" s="16">
        <f t="shared" ca="1" si="80"/>
        <v>0</v>
      </c>
      <c r="K144" s="16">
        <f t="shared" ca="1" si="81"/>
        <v>0</v>
      </c>
      <c r="L144" s="16">
        <f t="shared" ca="1" si="82"/>
        <v>0</v>
      </c>
      <c r="M144" s="16">
        <f t="shared" ca="1" si="83"/>
        <v>0</v>
      </c>
      <c r="N144" s="16">
        <f t="shared" ca="1" si="84"/>
        <v>0</v>
      </c>
      <c r="O144" s="16">
        <f t="shared" ca="1" si="85"/>
        <v>0</v>
      </c>
      <c r="P144" s="16">
        <f t="shared" ca="1" si="86"/>
        <v>0</v>
      </c>
      <c r="Q144" s="16">
        <f t="shared" ca="1" si="87"/>
        <v>0</v>
      </c>
      <c r="R144" s="16">
        <f t="shared" ca="1" si="88"/>
        <v>0</v>
      </c>
      <c r="S144" s="17">
        <f t="shared" ca="1" si="89"/>
        <v>0</v>
      </c>
    </row>
    <row r="145" spans="1:19" ht="13.8">
      <c r="A145" s="10">
        <f ca="1">IFERROR(__xludf.DUMMYFUNCTION("""COMPUTED_VALUE"""),144)</f>
        <v>144</v>
      </c>
      <c r="B145" s="10" t="str">
        <f t="shared" ca="1" si="72"/>
        <v>CLIP Puente Aranda</v>
      </c>
      <c r="C145" s="11">
        <f t="shared" ca="1" si="73"/>
        <v>45370</v>
      </c>
      <c r="D145" s="16">
        <f t="shared" ca="1" si="74"/>
        <v>0</v>
      </c>
      <c r="E145" s="16">
        <f t="shared" ca="1" si="75"/>
        <v>0</v>
      </c>
      <c r="F145" s="16">
        <f t="shared" ca="1" si="76"/>
        <v>0</v>
      </c>
      <c r="G145" s="16">
        <f t="shared" ca="1" si="77"/>
        <v>0</v>
      </c>
      <c r="H145" s="16">
        <f t="shared" ca="1" si="78"/>
        <v>0</v>
      </c>
      <c r="I145" s="16">
        <f t="shared" ca="1" si="79"/>
        <v>0</v>
      </c>
      <c r="J145" s="16">
        <f t="shared" ca="1" si="80"/>
        <v>0</v>
      </c>
      <c r="K145" s="16">
        <f t="shared" ca="1" si="81"/>
        <v>0</v>
      </c>
      <c r="L145" s="16">
        <f t="shared" ca="1" si="82"/>
        <v>0</v>
      </c>
      <c r="M145" s="16">
        <f t="shared" ca="1" si="83"/>
        <v>0</v>
      </c>
      <c r="N145" s="16">
        <f t="shared" ca="1" si="84"/>
        <v>0</v>
      </c>
      <c r="O145" s="16">
        <f t="shared" ca="1" si="85"/>
        <v>0</v>
      </c>
      <c r="P145" s="16">
        <f t="shared" ca="1" si="86"/>
        <v>0</v>
      </c>
      <c r="Q145" s="16">
        <f t="shared" ca="1" si="87"/>
        <v>0</v>
      </c>
      <c r="R145" s="16">
        <f t="shared" ca="1" si="88"/>
        <v>0</v>
      </c>
      <c r="S145" s="17">
        <f t="shared" ca="1" si="89"/>
        <v>0</v>
      </c>
    </row>
    <row r="146" spans="1:19" ht="41.4">
      <c r="A146" s="10">
        <f ca="1">IFERROR(__xludf.DUMMYFUNCTION("""COMPUTED_VALUE"""),145)</f>
        <v>145</v>
      </c>
      <c r="B146" s="10" t="str">
        <f t="shared" ca="1" si="72"/>
        <v xml:space="preserve">I Diálogo Ciudadano Poblacional para la Construcción del PDD - Consultiva Negra-afrocolombiana </v>
      </c>
      <c r="C146" s="11">
        <f t="shared" ca="1" si="73"/>
        <v>45370</v>
      </c>
      <c r="D146" s="16">
        <f t="shared" ca="1" si="74"/>
        <v>0</v>
      </c>
      <c r="E146" s="16">
        <f t="shared" ca="1" si="75"/>
        <v>0</v>
      </c>
      <c r="F146" s="16">
        <f t="shared" ca="1" si="76"/>
        <v>0</v>
      </c>
      <c r="G146" s="16">
        <f t="shared" ca="1" si="77"/>
        <v>0</v>
      </c>
      <c r="H146" s="16">
        <f t="shared" ca="1" si="78"/>
        <v>0</v>
      </c>
      <c r="I146" s="16">
        <f t="shared" ca="1" si="79"/>
        <v>0</v>
      </c>
      <c r="J146" s="16">
        <f t="shared" ca="1" si="80"/>
        <v>0</v>
      </c>
      <c r="K146" s="16">
        <f t="shared" ca="1" si="81"/>
        <v>0</v>
      </c>
      <c r="L146" s="16">
        <f t="shared" ca="1" si="82"/>
        <v>0</v>
      </c>
      <c r="M146" s="16">
        <f t="shared" ca="1" si="83"/>
        <v>0</v>
      </c>
      <c r="N146" s="16">
        <f t="shared" ca="1" si="84"/>
        <v>0</v>
      </c>
      <c r="O146" s="16">
        <f t="shared" ca="1" si="85"/>
        <v>0</v>
      </c>
      <c r="P146" s="16">
        <f t="shared" ca="1" si="86"/>
        <v>0</v>
      </c>
      <c r="Q146" s="16">
        <f t="shared" ca="1" si="87"/>
        <v>0</v>
      </c>
      <c r="R146" s="16">
        <f t="shared" ca="1" si="88"/>
        <v>0</v>
      </c>
      <c r="S146" s="17">
        <f t="shared" ca="1" si="89"/>
        <v>0</v>
      </c>
    </row>
    <row r="147" spans="1:19" ht="55.2">
      <c r="A147" s="10">
        <f ca="1">IFERROR(__xludf.DUMMYFUNCTION("""COMPUTED_VALUE"""),146)</f>
        <v>146</v>
      </c>
      <c r="B147" s="10" t="str">
        <f t="shared" ca="1" si="72"/>
        <v>I Foro - reglamentación del Manual de Ecourbanismo y Construcción Sostenible - Bienestar</v>
      </c>
      <c r="C147" s="11">
        <f t="shared" ca="1" si="73"/>
        <v>45370</v>
      </c>
      <c r="D147" s="16">
        <f t="shared" ca="1" si="74"/>
        <v>0</v>
      </c>
      <c r="E147" s="16">
        <f t="shared" ca="1" si="75"/>
        <v>0</v>
      </c>
      <c r="F147" s="16">
        <f t="shared" ca="1" si="76"/>
        <v>0</v>
      </c>
      <c r="G147" s="16">
        <f t="shared" ca="1" si="77"/>
        <v>0</v>
      </c>
      <c r="H147" s="16">
        <f t="shared" ca="1" si="78"/>
        <v>0</v>
      </c>
      <c r="I147" s="16">
        <f t="shared" ca="1" si="79"/>
        <v>0</v>
      </c>
      <c r="J147" s="16">
        <f t="shared" ca="1" si="80"/>
        <v>0</v>
      </c>
      <c r="K147" s="16">
        <f t="shared" ca="1" si="81"/>
        <v>0</v>
      </c>
      <c r="L147" s="16">
        <f t="shared" ca="1" si="82"/>
        <v>0</v>
      </c>
      <c r="M147" s="16">
        <f t="shared" ca="1" si="83"/>
        <v>0</v>
      </c>
      <c r="N147" s="16">
        <f t="shared" ca="1" si="84"/>
        <v>0</v>
      </c>
      <c r="O147" s="16">
        <f t="shared" ca="1" si="85"/>
        <v>0</v>
      </c>
      <c r="P147" s="16">
        <f t="shared" ca="1" si="86"/>
        <v>0</v>
      </c>
      <c r="Q147" s="16">
        <f t="shared" ca="1" si="87"/>
        <v>0</v>
      </c>
      <c r="R147" s="16">
        <f t="shared" ca="1" si="88"/>
        <v>0</v>
      </c>
      <c r="S147" s="17">
        <f t="shared" ca="1" si="89"/>
        <v>0</v>
      </c>
    </row>
    <row r="148" spans="1:19" ht="27.6">
      <c r="A148" s="10">
        <f ca="1">IFERROR(__xludf.DUMMYFUNCTION("""COMPUTED_VALUE"""),147)</f>
        <v>147</v>
      </c>
      <c r="B148" s="10" t="str">
        <f t="shared" ca="1" si="72"/>
        <v>Abordaje Plan Distrital de Desarrollo -  Summa</v>
      </c>
      <c r="C148" s="11">
        <f t="shared" ca="1" si="73"/>
        <v>45370</v>
      </c>
      <c r="D148" s="16">
        <f t="shared" ca="1" si="74"/>
        <v>0</v>
      </c>
      <c r="E148" s="16">
        <f t="shared" ca="1" si="75"/>
        <v>0</v>
      </c>
      <c r="F148" s="16">
        <f t="shared" ca="1" si="76"/>
        <v>0</v>
      </c>
      <c r="G148" s="16">
        <f t="shared" ca="1" si="77"/>
        <v>0</v>
      </c>
      <c r="H148" s="16">
        <f t="shared" ca="1" si="78"/>
        <v>0</v>
      </c>
      <c r="I148" s="16">
        <f t="shared" ca="1" si="79"/>
        <v>0</v>
      </c>
      <c r="J148" s="16">
        <f t="shared" ca="1" si="80"/>
        <v>0</v>
      </c>
      <c r="K148" s="16">
        <f t="shared" ca="1" si="81"/>
        <v>0</v>
      </c>
      <c r="L148" s="16">
        <f t="shared" ca="1" si="82"/>
        <v>0</v>
      </c>
      <c r="M148" s="16">
        <f t="shared" ca="1" si="83"/>
        <v>0</v>
      </c>
      <c r="N148" s="16">
        <f t="shared" ca="1" si="84"/>
        <v>0</v>
      </c>
      <c r="O148" s="16">
        <f t="shared" ca="1" si="85"/>
        <v>0</v>
      </c>
      <c r="P148" s="16">
        <f t="shared" ca="1" si="86"/>
        <v>0</v>
      </c>
      <c r="Q148" s="16">
        <f t="shared" ca="1" si="87"/>
        <v>0</v>
      </c>
      <c r="R148" s="16">
        <f t="shared" ca="1" si="88"/>
        <v>0</v>
      </c>
      <c r="S148" s="17">
        <f t="shared" ca="1" si="89"/>
        <v>0</v>
      </c>
    </row>
    <row r="149" spans="1:19" ht="41.4">
      <c r="A149" s="10">
        <f ca="1">IFERROR(__xludf.DUMMYFUNCTION("""COMPUTED_VALUE"""),148)</f>
        <v>148</v>
      </c>
      <c r="B149" s="10" t="str">
        <f t="shared" ca="1" si="72"/>
        <v>Dialogo Ciudadano para la Construcción del PDD - UPL Sumapaz - Cuenca Río Blanco</v>
      </c>
      <c r="C149" s="11">
        <f t="shared" ca="1" si="73"/>
        <v>45370</v>
      </c>
      <c r="D149" s="16">
        <f t="shared" ca="1" si="74"/>
        <v>0</v>
      </c>
      <c r="E149" s="16">
        <f t="shared" ca="1" si="75"/>
        <v>0</v>
      </c>
      <c r="F149" s="16">
        <f t="shared" ca="1" si="76"/>
        <v>0</v>
      </c>
      <c r="G149" s="16">
        <f t="shared" ca="1" si="77"/>
        <v>0</v>
      </c>
      <c r="H149" s="16">
        <f t="shared" ca="1" si="78"/>
        <v>0</v>
      </c>
      <c r="I149" s="16">
        <f t="shared" ca="1" si="79"/>
        <v>0</v>
      </c>
      <c r="J149" s="16">
        <f t="shared" ca="1" si="80"/>
        <v>0</v>
      </c>
      <c r="K149" s="16">
        <f t="shared" ca="1" si="81"/>
        <v>0</v>
      </c>
      <c r="L149" s="16">
        <f t="shared" ca="1" si="82"/>
        <v>0</v>
      </c>
      <c r="M149" s="16">
        <f t="shared" ca="1" si="83"/>
        <v>0</v>
      </c>
      <c r="N149" s="16">
        <f t="shared" ca="1" si="84"/>
        <v>0</v>
      </c>
      <c r="O149" s="16">
        <f t="shared" ca="1" si="85"/>
        <v>0</v>
      </c>
      <c r="P149" s="16">
        <f t="shared" ca="1" si="86"/>
        <v>0</v>
      </c>
      <c r="Q149" s="16">
        <f t="shared" ca="1" si="87"/>
        <v>0</v>
      </c>
      <c r="R149" s="16">
        <f t="shared" ca="1" si="88"/>
        <v>0</v>
      </c>
      <c r="S149" s="17">
        <f t="shared" ca="1" si="89"/>
        <v>0</v>
      </c>
    </row>
    <row r="150" spans="1:19" ht="27.6">
      <c r="A150" s="10">
        <f ca="1">IFERROR(__xludf.DUMMYFUNCTION("""COMPUTED_VALUE"""),149)</f>
        <v>149</v>
      </c>
      <c r="B150" s="10" t="str">
        <f t="shared" ca="1" si="72"/>
        <v>Dialogo Ciudadano para la Construcción del PDD - UPL Salitre</v>
      </c>
      <c r="C150" s="11">
        <f t="shared" ca="1" si="73"/>
        <v>45370</v>
      </c>
      <c r="D150" s="16">
        <f t="shared" ca="1" si="74"/>
        <v>0</v>
      </c>
      <c r="E150" s="16">
        <f t="shared" ca="1" si="75"/>
        <v>0</v>
      </c>
      <c r="F150" s="16">
        <f t="shared" ca="1" si="76"/>
        <v>0</v>
      </c>
      <c r="G150" s="16">
        <f t="shared" ca="1" si="77"/>
        <v>0</v>
      </c>
      <c r="H150" s="16">
        <f t="shared" ca="1" si="78"/>
        <v>0</v>
      </c>
      <c r="I150" s="16">
        <f t="shared" ca="1" si="79"/>
        <v>0</v>
      </c>
      <c r="J150" s="16">
        <f t="shared" ca="1" si="80"/>
        <v>0</v>
      </c>
      <c r="K150" s="16">
        <f t="shared" ca="1" si="81"/>
        <v>0</v>
      </c>
      <c r="L150" s="16">
        <f t="shared" ca="1" si="82"/>
        <v>0</v>
      </c>
      <c r="M150" s="16">
        <f t="shared" ca="1" si="83"/>
        <v>0</v>
      </c>
      <c r="N150" s="16">
        <f t="shared" ca="1" si="84"/>
        <v>0</v>
      </c>
      <c r="O150" s="16">
        <f t="shared" ca="1" si="85"/>
        <v>0</v>
      </c>
      <c r="P150" s="16">
        <f t="shared" ca="1" si="86"/>
        <v>0</v>
      </c>
      <c r="Q150" s="16">
        <f t="shared" ca="1" si="87"/>
        <v>0</v>
      </c>
      <c r="R150" s="16">
        <f t="shared" ca="1" si="88"/>
        <v>0</v>
      </c>
      <c r="S150" s="17">
        <f t="shared" ca="1" si="89"/>
        <v>0</v>
      </c>
    </row>
    <row r="151" spans="1:19" ht="41.4">
      <c r="A151" s="10">
        <f ca="1">IFERROR(__xludf.DUMMYFUNCTION("""COMPUTED_VALUE"""),150)</f>
        <v>150</v>
      </c>
      <c r="B151" s="10" t="str">
        <f t="shared" ca="1" si="72"/>
        <v>Diálogo ciudadano para la formulación del Plan Distrital de Desarrollo PDD- LGBTI</v>
      </c>
      <c r="C151" s="11">
        <f t="shared" ca="1" si="73"/>
        <v>45370</v>
      </c>
      <c r="D151" s="16">
        <f t="shared" ca="1" si="74"/>
        <v>0</v>
      </c>
      <c r="E151" s="16">
        <f t="shared" ca="1" si="75"/>
        <v>0</v>
      </c>
      <c r="F151" s="16">
        <f t="shared" ca="1" si="76"/>
        <v>0</v>
      </c>
      <c r="G151" s="16">
        <f t="shared" ca="1" si="77"/>
        <v>0</v>
      </c>
      <c r="H151" s="16">
        <f t="shared" ca="1" si="78"/>
        <v>0</v>
      </c>
      <c r="I151" s="16">
        <f t="shared" ca="1" si="79"/>
        <v>0</v>
      </c>
      <c r="J151" s="16">
        <f t="shared" ca="1" si="80"/>
        <v>0</v>
      </c>
      <c r="K151" s="16">
        <f t="shared" ca="1" si="81"/>
        <v>0</v>
      </c>
      <c r="L151" s="16">
        <f t="shared" ca="1" si="82"/>
        <v>0</v>
      </c>
      <c r="M151" s="16">
        <f t="shared" ca="1" si="83"/>
        <v>0</v>
      </c>
      <c r="N151" s="16">
        <f t="shared" ca="1" si="84"/>
        <v>0</v>
      </c>
      <c r="O151" s="16">
        <f t="shared" ca="1" si="85"/>
        <v>0</v>
      </c>
      <c r="P151" s="16">
        <f t="shared" ca="1" si="86"/>
        <v>0</v>
      </c>
      <c r="Q151" s="16">
        <f t="shared" ca="1" si="87"/>
        <v>0</v>
      </c>
      <c r="R151" s="16">
        <f t="shared" ca="1" si="88"/>
        <v>0</v>
      </c>
      <c r="S151" s="17">
        <f t="shared" ca="1" si="89"/>
        <v>0</v>
      </c>
    </row>
    <row r="152" spans="1:19" ht="27.6">
      <c r="A152" s="10">
        <f ca="1">IFERROR(__xludf.DUMMYFUNCTION("""COMPUTED_VALUE"""),151)</f>
        <v>151</v>
      </c>
      <c r="B152" s="10" t="str">
        <f t="shared" ca="1" si="72"/>
        <v>Socialización Plan Plurianual de Inversiones - Comisión PDD - CTPD</v>
      </c>
      <c r="C152" s="11">
        <f t="shared" ca="1" si="73"/>
        <v>45370</v>
      </c>
      <c r="D152" s="16">
        <f t="shared" ca="1" si="74"/>
        <v>0</v>
      </c>
      <c r="E152" s="16">
        <f t="shared" ca="1" si="75"/>
        <v>0</v>
      </c>
      <c r="F152" s="16">
        <f t="shared" ca="1" si="76"/>
        <v>0</v>
      </c>
      <c r="G152" s="16">
        <f t="shared" ca="1" si="77"/>
        <v>0</v>
      </c>
      <c r="H152" s="16">
        <f t="shared" ca="1" si="78"/>
        <v>0</v>
      </c>
      <c r="I152" s="16">
        <f t="shared" ca="1" si="79"/>
        <v>0</v>
      </c>
      <c r="J152" s="16">
        <f t="shared" ca="1" si="80"/>
        <v>0</v>
      </c>
      <c r="K152" s="16">
        <f t="shared" ca="1" si="81"/>
        <v>0</v>
      </c>
      <c r="L152" s="16">
        <f t="shared" ca="1" si="82"/>
        <v>0</v>
      </c>
      <c r="M152" s="16">
        <f t="shared" ca="1" si="83"/>
        <v>0</v>
      </c>
      <c r="N152" s="16">
        <f t="shared" ca="1" si="84"/>
        <v>0</v>
      </c>
      <c r="O152" s="16">
        <f t="shared" ca="1" si="85"/>
        <v>0</v>
      </c>
      <c r="P152" s="16">
        <f t="shared" ca="1" si="86"/>
        <v>0</v>
      </c>
      <c r="Q152" s="16">
        <f t="shared" ca="1" si="87"/>
        <v>0</v>
      </c>
      <c r="R152" s="16">
        <f t="shared" ca="1" si="88"/>
        <v>0</v>
      </c>
      <c r="S152" s="17">
        <f t="shared" ca="1" si="89"/>
        <v>0</v>
      </c>
    </row>
    <row r="153" spans="1:19" ht="27.6">
      <c r="A153" s="10">
        <f ca="1">IFERROR(__xludf.DUMMYFUNCTION("""COMPUTED_VALUE"""),152)</f>
        <v>152</v>
      </c>
      <c r="B153" s="10" t="str">
        <f t="shared" ca="1" si="72"/>
        <v>Comité Coordinador Intersectorial de Participación PDD</v>
      </c>
      <c r="C153" s="11">
        <f t="shared" ca="1" si="73"/>
        <v>45371</v>
      </c>
      <c r="D153" s="16">
        <f t="shared" ca="1" si="74"/>
        <v>0</v>
      </c>
      <c r="E153" s="16">
        <f t="shared" ca="1" si="75"/>
        <v>0</v>
      </c>
      <c r="F153" s="16">
        <f t="shared" ca="1" si="76"/>
        <v>0</v>
      </c>
      <c r="G153" s="16">
        <f t="shared" ca="1" si="77"/>
        <v>0</v>
      </c>
      <c r="H153" s="16">
        <f t="shared" ca="1" si="78"/>
        <v>0</v>
      </c>
      <c r="I153" s="16">
        <f t="shared" ca="1" si="79"/>
        <v>0</v>
      </c>
      <c r="J153" s="16">
        <f t="shared" ca="1" si="80"/>
        <v>0</v>
      </c>
      <c r="K153" s="16">
        <f t="shared" ca="1" si="81"/>
        <v>0</v>
      </c>
      <c r="L153" s="16">
        <f t="shared" ca="1" si="82"/>
        <v>0</v>
      </c>
      <c r="M153" s="16">
        <f t="shared" ca="1" si="83"/>
        <v>0</v>
      </c>
      <c r="N153" s="16">
        <f t="shared" ca="1" si="84"/>
        <v>0</v>
      </c>
      <c r="O153" s="16">
        <f t="shared" ca="1" si="85"/>
        <v>0</v>
      </c>
      <c r="P153" s="16">
        <f t="shared" ca="1" si="86"/>
        <v>0</v>
      </c>
      <c r="Q153" s="16">
        <f t="shared" ca="1" si="87"/>
        <v>0</v>
      </c>
      <c r="R153" s="16">
        <f t="shared" ca="1" si="88"/>
        <v>0</v>
      </c>
      <c r="S153" s="17">
        <f t="shared" ca="1" si="89"/>
        <v>0</v>
      </c>
    </row>
    <row r="154" spans="1:19" ht="55.2">
      <c r="A154" s="10">
        <f ca="1">IFERROR(__xludf.DUMMYFUNCTION("""COMPUTED_VALUE"""),153)</f>
        <v>153</v>
      </c>
      <c r="B154" s="10" t="str">
        <f t="shared" ca="1" si="72"/>
        <v>II Diálogo Ciudadano Poblacional para la Construcción del PDD - Taller Niños, Niñas y Adolescentes - SED-SDP</v>
      </c>
      <c r="C154" s="11">
        <f t="shared" ca="1" si="73"/>
        <v>45371</v>
      </c>
      <c r="D154" s="16">
        <f t="shared" ca="1" si="74"/>
        <v>0</v>
      </c>
      <c r="E154" s="16">
        <f t="shared" ca="1" si="75"/>
        <v>0</v>
      </c>
      <c r="F154" s="16">
        <f t="shared" ca="1" si="76"/>
        <v>0</v>
      </c>
      <c r="G154" s="16">
        <f t="shared" ca="1" si="77"/>
        <v>0</v>
      </c>
      <c r="H154" s="16">
        <f t="shared" ca="1" si="78"/>
        <v>0</v>
      </c>
      <c r="I154" s="16">
        <f t="shared" ca="1" si="79"/>
        <v>0</v>
      </c>
      <c r="J154" s="16">
        <f t="shared" ca="1" si="80"/>
        <v>0</v>
      </c>
      <c r="K154" s="16">
        <f t="shared" ca="1" si="81"/>
        <v>0</v>
      </c>
      <c r="L154" s="16">
        <f t="shared" ca="1" si="82"/>
        <v>0</v>
      </c>
      <c r="M154" s="16">
        <f t="shared" ca="1" si="83"/>
        <v>0</v>
      </c>
      <c r="N154" s="16">
        <f t="shared" ca="1" si="84"/>
        <v>0</v>
      </c>
      <c r="O154" s="16">
        <f t="shared" ca="1" si="85"/>
        <v>0</v>
      </c>
      <c r="P154" s="16">
        <f t="shared" ca="1" si="86"/>
        <v>0</v>
      </c>
      <c r="Q154" s="16">
        <f t="shared" ca="1" si="87"/>
        <v>0</v>
      </c>
      <c r="R154" s="16">
        <f t="shared" ca="1" si="88"/>
        <v>0</v>
      </c>
      <c r="S154" s="17">
        <f t="shared" ca="1" si="89"/>
        <v>0</v>
      </c>
    </row>
    <row r="155" spans="1:19" ht="13.8">
      <c r="A155" s="10">
        <f ca="1">IFERROR(__xludf.DUMMYFUNCTION("""COMPUTED_VALUE"""),154)</f>
        <v>154</v>
      </c>
      <c r="B155" s="10" t="str">
        <f t="shared" ca="1" si="72"/>
        <v>CLIP Ciudad Bolívar</v>
      </c>
      <c r="C155" s="11">
        <f t="shared" ca="1" si="73"/>
        <v>45371</v>
      </c>
      <c r="D155" s="16">
        <f t="shared" ca="1" si="74"/>
        <v>0</v>
      </c>
      <c r="E155" s="16">
        <f t="shared" ca="1" si="75"/>
        <v>0</v>
      </c>
      <c r="F155" s="16">
        <f t="shared" ca="1" si="76"/>
        <v>0</v>
      </c>
      <c r="G155" s="16">
        <f t="shared" ca="1" si="77"/>
        <v>0</v>
      </c>
      <c r="H155" s="16">
        <f t="shared" ca="1" si="78"/>
        <v>0</v>
      </c>
      <c r="I155" s="16">
        <f t="shared" ca="1" si="79"/>
        <v>0</v>
      </c>
      <c r="J155" s="16">
        <f t="shared" ca="1" si="80"/>
        <v>0</v>
      </c>
      <c r="K155" s="16">
        <f t="shared" ca="1" si="81"/>
        <v>0</v>
      </c>
      <c r="L155" s="16">
        <f t="shared" ca="1" si="82"/>
        <v>0</v>
      </c>
      <c r="M155" s="16">
        <f t="shared" ca="1" si="83"/>
        <v>0</v>
      </c>
      <c r="N155" s="16">
        <f t="shared" ca="1" si="84"/>
        <v>0</v>
      </c>
      <c r="O155" s="16">
        <f t="shared" ca="1" si="85"/>
        <v>0</v>
      </c>
      <c r="P155" s="16">
        <f t="shared" ca="1" si="86"/>
        <v>0</v>
      </c>
      <c r="Q155" s="16">
        <f t="shared" ca="1" si="87"/>
        <v>0</v>
      </c>
      <c r="R155" s="16">
        <f t="shared" ca="1" si="88"/>
        <v>0</v>
      </c>
      <c r="S155" s="17">
        <f t="shared" ca="1" si="89"/>
        <v>0</v>
      </c>
    </row>
    <row r="156" spans="1:19" ht="27.6">
      <c r="A156" s="10">
        <f ca="1">IFERROR(__xludf.DUMMYFUNCTION("""COMPUTED_VALUE"""),155)</f>
        <v>155</v>
      </c>
      <c r="B156" s="10" t="str">
        <f t="shared" ca="1" si="72"/>
        <v>Dialogo Ciudadano para la Construcción del PDD - UPL Britalia</v>
      </c>
      <c r="C156" s="11">
        <f t="shared" ca="1" si="73"/>
        <v>45371</v>
      </c>
      <c r="D156" s="16">
        <f t="shared" ca="1" si="74"/>
        <v>0</v>
      </c>
      <c r="E156" s="16">
        <f t="shared" ca="1" si="75"/>
        <v>0</v>
      </c>
      <c r="F156" s="16">
        <f t="shared" ca="1" si="76"/>
        <v>0</v>
      </c>
      <c r="G156" s="16">
        <f t="shared" ca="1" si="77"/>
        <v>0</v>
      </c>
      <c r="H156" s="16">
        <f t="shared" ca="1" si="78"/>
        <v>0</v>
      </c>
      <c r="I156" s="16">
        <f t="shared" ca="1" si="79"/>
        <v>0</v>
      </c>
      <c r="J156" s="16">
        <f t="shared" ca="1" si="80"/>
        <v>0</v>
      </c>
      <c r="K156" s="16">
        <f t="shared" ca="1" si="81"/>
        <v>0</v>
      </c>
      <c r="L156" s="16">
        <f t="shared" ca="1" si="82"/>
        <v>0</v>
      </c>
      <c r="M156" s="16">
        <f t="shared" ca="1" si="83"/>
        <v>0</v>
      </c>
      <c r="N156" s="16">
        <f t="shared" ca="1" si="84"/>
        <v>0</v>
      </c>
      <c r="O156" s="16">
        <f t="shared" ca="1" si="85"/>
        <v>0</v>
      </c>
      <c r="P156" s="16">
        <f t="shared" ca="1" si="86"/>
        <v>0</v>
      </c>
      <c r="Q156" s="16">
        <f t="shared" ca="1" si="87"/>
        <v>0</v>
      </c>
      <c r="R156" s="16">
        <f t="shared" ca="1" si="88"/>
        <v>0</v>
      </c>
      <c r="S156" s="17">
        <f t="shared" ca="1" si="89"/>
        <v>0</v>
      </c>
    </row>
    <row r="157" spans="1:19" ht="55.2">
      <c r="A157" s="10">
        <f ca="1">IFERROR(__xludf.DUMMYFUNCTION("""COMPUTED_VALUE"""),156)</f>
        <v>156</v>
      </c>
      <c r="B157" s="10" t="str">
        <f t="shared" ca="1" si="72"/>
        <v>Sesión Extraordinaria Comisión de Desarrollo Regional, Descentralización y Desconcentración del CTPD</v>
      </c>
      <c r="C157" s="11">
        <f t="shared" ca="1" si="73"/>
        <v>45371</v>
      </c>
      <c r="D157" s="16">
        <f t="shared" ca="1" si="74"/>
        <v>0</v>
      </c>
      <c r="E157" s="16">
        <f t="shared" ca="1" si="75"/>
        <v>0</v>
      </c>
      <c r="F157" s="16">
        <f t="shared" ca="1" si="76"/>
        <v>0</v>
      </c>
      <c r="G157" s="16">
        <f t="shared" ca="1" si="77"/>
        <v>0</v>
      </c>
      <c r="H157" s="16">
        <f t="shared" ca="1" si="78"/>
        <v>0</v>
      </c>
      <c r="I157" s="16">
        <f t="shared" ca="1" si="79"/>
        <v>0</v>
      </c>
      <c r="J157" s="16">
        <f t="shared" ca="1" si="80"/>
        <v>0</v>
      </c>
      <c r="K157" s="16">
        <f t="shared" ca="1" si="81"/>
        <v>0</v>
      </c>
      <c r="L157" s="16">
        <f t="shared" ca="1" si="82"/>
        <v>0</v>
      </c>
      <c r="M157" s="16">
        <f t="shared" ca="1" si="83"/>
        <v>0</v>
      </c>
      <c r="N157" s="16">
        <f t="shared" ca="1" si="84"/>
        <v>0</v>
      </c>
      <c r="O157" s="16">
        <f t="shared" ca="1" si="85"/>
        <v>0</v>
      </c>
      <c r="P157" s="16">
        <f t="shared" ca="1" si="86"/>
        <v>0</v>
      </c>
      <c r="Q157" s="16">
        <f t="shared" ca="1" si="87"/>
        <v>0</v>
      </c>
      <c r="R157" s="16">
        <f t="shared" ca="1" si="88"/>
        <v>0</v>
      </c>
      <c r="S157" s="17">
        <f t="shared" ca="1" si="89"/>
        <v>0</v>
      </c>
    </row>
    <row r="158" spans="1:19" ht="13.8">
      <c r="A158" s="10">
        <f ca="1">IFERROR(__xludf.DUMMYFUNCTION("""COMPUTED_VALUE"""),157)</f>
        <v>157</v>
      </c>
      <c r="B158" s="10" t="str">
        <f t="shared" ca="1" si="72"/>
        <v>Comisión Poblacional</v>
      </c>
      <c r="C158" s="11">
        <f t="shared" ca="1" si="73"/>
        <v>45371</v>
      </c>
      <c r="D158" s="16">
        <f t="shared" ca="1" si="74"/>
        <v>0</v>
      </c>
      <c r="E158" s="16">
        <f t="shared" ca="1" si="75"/>
        <v>0</v>
      </c>
      <c r="F158" s="16">
        <f t="shared" ca="1" si="76"/>
        <v>0</v>
      </c>
      <c r="G158" s="16">
        <f t="shared" ca="1" si="77"/>
        <v>0</v>
      </c>
      <c r="H158" s="16">
        <f t="shared" ca="1" si="78"/>
        <v>0</v>
      </c>
      <c r="I158" s="16">
        <f t="shared" ca="1" si="79"/>
        <v>0</v>
      </c>
      <c r="J158" s="16">
        <f t="shared" ca="1" si="80"/>
        <v>0</v>
      </c>
      <c r="K158" s="16">
        <f t="shared" ca="1" si="81"/>
        <v>0</v>
      </c>
      <c r="L158" s="16">
        <f t="shared" ca="1" si="82"/>
        <v>0</v>
      </c>
      <c r="M158" s="16">
        <f t="shared" ca="1" si="83"/>
        <v>0</v>
      </c>
      <c r="N158" s="16">
        <f t="shared" ca="1" si="84"/>
        <v>0</v>
      </c>
      <c r="O158" s="16">
        <f t="shared" ca="1" si="85"/>
        <v>0</v>
      </c>
      <c r="P158" s="16">
        <f t="shared" ca="1" si="86"/>
        <v>0</v>
      </c>
      <c r="S158" s="18"/>
    </row>
    <row r="159" spans="1:19" ht="13.8">
      <c r="A159" s="10">
        <f ca="1">IFERROR(__xludf.DUMMYFUNCTION("""COMPUTED_VALUE"""),158)</f>
        <v>158</v>
      </c>
      <c r="B159" s="10" t="str">
        <f t="shared" ca="1" si="72"/>
        <v>Comisión POT Ordinaria - CTPD</v>
      </c>
      <c r="C159" s="11">
        <f t="shared" ca="1" si="73"/>
        <v>45371</v>
      </c>
      <c r="D159" s="16">
        <f t="shared" ca="1" si="74"/>
        <v>0</v>
      </c>
      <c r="E159" s="16">
        <f t="shared" ca="1" si="75"/>
        <v>0</v>
      </c>
      <c r="F159" s="16">
        <f t="shared" ca="1" si="76"/>
        <v>0</v>
      </c>
      <c r="G159" s="16">
        <f t="shared" ca="1" si="77"/>
        <v>0</v>
      </c>
      <c r="H159" s="16">
        <f t="shared" ca="1" si="78"/>
        <v>0</v>
      </c>
      <c r="I159" s="16">
        <f t="shared" ca="1" si="79"/>
        <v>0</v>
      </c>
      <c r="J159" s="16">
        <f t="shared" ca="1" si="80"/>
        <v>0</v>
      </c>
      <c r="K159" s="16">
        <f t="shared" ca="1" si="81"/>
        <v>0</v>
      </c>
      <c r="L159" s="16">
        <f t="shared" ca="1" si="82"/>
        <v>0</v>
      </c>
      <c r="M159" s="16">
        <f t="shared" ca="1" si="83"/>
        <v>0</v>
      </c>
      <c r="N159" s="16">
        <f t="shared" ca="1" si="84"/>
        <v>0</v>
      </c>
      <c r="O159" s="16">
        <f t="shared" ca="1" si="85"/>
        <v>0</v>
      </c>
      <c r="P159" s="16">
        <f t="shared" ca="1" si="86"/>
        <v>0</v>
      </c>
      <c r="S159" s="18"/>
    </row>
    <row r="160" spans="1:19" ht="27.6">
      <c r="A160" s="10">
        <f ca="1">IFERROR(__xludf.DUMMYFUNCTION("""COMPUTED_VALUE"""),159)</f>
        <v>159</v>
      </c>
      <c r="B160" s="10" t="str">
        <f t="shared" ca="1" si="72"/>
        <v>Comisión Ordinaria de Participación - CTPD</v>
      </c>
      <c r="C160" s="11">
        <f t="shared" ca="1" si="73"/>
        <v>45371</v>
      </c>
      <c r="D160" s="16">
        <f t="shared" ca="1" si="74"/>
        <v>0</v>
      </c>
      <c r="E160" s="16">
        <f t="shared" ca="1" si="75"/>
        <v>0</v>
      </c>
      <c r="F160" s="16">
        <f t="shared" ca="1" si="76"/>
        <v>0</v>
      </c>
      <c r="G160" s="16">
        <f t="shared" ca="1" si="77"/>
        <v>0</v>
      </c>
      <c r="H160" s="16">
        <f t="shared" ca="1" si="78"/>
        <v>0</v>
      </c>
      <c r="I160" s="16">
        <f t="shared" ca="1" si="79"/>
        <v>0</v>
      </c>
      <c r="J160" s="16">
        <f t="shared" ca="1" si="80"/>
        <v>0</v>
      </c>
      <c r="K160" s="16">
        <f t="shared" ca="1" si="81"/>
        <v>0</v>
      </c>
      <c r="L160" s="16">
        <f t="shared" ca="1" si="82"/>
        <v>0</v>
      </c>
      <c r="M160" s="16">
        <f t="shared" ca="1" si="83"/>
        <v>0</v>
      </c>
      <c r="N160" s="16">
        <f t="shared" ca="1" si="84"/>
        <v>0</v>
      </c>
      <c r="O160" s="16">
        <f t="shared" ca="1" si="85"/>
        <v>0</v>
      </c>
      <c r="P160" s="16">
        <f t="shared" ca="1" si="86"/>
        <v>0</v>
      </c>
      <c r="S160" s="18"/>
    </row>
    <row r="161" spans="1:19" ht="41.4">
      <c r="A161" s="10">
        <f ca="1">IFERROR(__xludf.DUMMYFUNCTION("""COMPUTED_VALUE"""),160)</f>
        <v>160</v>
      </c>
      <c r="B161" s="10" t="str">
        <f t="shared" ca="1" si="72"/>
        <v>Sesión Ordinaria - Comisión Intersectorial Diferencial Poblacional</v>
      </c>
      <c r="C161" s="11">
        <f t="shared" ca="1" si="73"/>
        <v>45372</v>
      </c>
      <c r="D161" s="16">
        <f t="shared" ca="1" si="74"/>
        <v>0</v>
      </c>
      <c r="E161" s="16">
        <f t="shared" ca="1" si="75"/>
        <v>0</v>
      </c>
      <c r="F161" s="16">
        <f t="shared" ca="1" si="76"/>
        <v>0</v>
      </c>
      <c r="G161" s="16">
        <f t="shared" ca="1" si="77"/>
        <v>0</v>
      </c>
      <c r="H161" s="16">
        <f t="shared" ca="1" si="78"/>
        <v>0</v>
      </c>
      <c r="I161" s="16">
        <f t="shared" ca="1" si="79"/>
        <v>0</v>
      </c>
      <c r="J161" s="16">
        <f t="shared" ca="1" si="80"/>
        <v>0</v>
      </c>
      <c r="K161" s="16">
        <f t="shared" ca="1" si="81"/>
        <v>0</v>
      </c>
      <c r="L161" s="16">
        <f t="shared" ca="1" si="82"/>
        <v>0</v>
      </c>
      <c r="M161" s="16">
        <f t="shared" ca="1" si="83"/>
        <v>0</v>
      </c>
      <c r="N161" s="16">
        <f t="shared" ca="1" si="84"/>
        <v>0</v>
      </c>
      <c r="O161" s="16">
        <f t="shared" ca="1" si="85"/>
        <v>0</v>
      </c>
      <c r="P161" s="16">
        <f t="shared" ca="1" si="86"/>
        <v>0</v>
      </c>
      <c r="S161" s="18"/>
    </row>
    <row r="162" spans="1:19" ht="13.8">
      <c r="A162" s="10"/>
      <c r="B162" s="10" t="str">
        <f t="shared" ref="B162:B172" si="90">IFERROR(VLOOKUP(A162,DATA_MATRIZ,2,FALSE),"")</f>
        <v/>
      </c>
      <c r="C162" s="11" t="str">
        <f t="shared" ref="C162:C172" si="91">IFERROR(VLOOKUP(A162,DATA_MATRIZ,3,FALSE),"")</f>
        <v/>
      </c>
      <c r="D162" s="16" t="str">
        <f t="shared" ref="D162:D172" si="92">IFERROR(VLOOKUP(A162,DATA_MATRIZ,89,FALSE),"")</f>
        <v/>
      </c>
      <c r="E162" s="16" t="str">
        <f t="shared" ref="E162:E172" si="93">IFERROR(VLOOKUP(A162,DATA_MATRIZ,90,FALSE),"")</f>
        <v/>
      </c>
      <c r="F162" s="16" t="str">
        <f t="shared" ref="F162:F172" si="94">IFERROR(VLOOKUP(A162,DATA_MATRIZ,96,FALSE),"")</f>
        <v/>
      </c>
      <c r="G162" s="16" t="str">
        <f t="shared" ref="G162:G172" si="95">IFERROR(VLOOKUP(A162,DATA_MATRIZ,91,FALSE),"")</f>
        <v/>
      </c>
      <c r="H162" s="16" t="str">
        <f t="shared" ref="H162:H172" si="96">IFERROR(VLOOKUP(A162,DATA_MATRIZ,97,FALSE),"")</f>
        <v/>
      </c>
      <c r="I162" s="16" t="str">
        <f t="shared" ref="I162:I172" si="97">IFERROR(VLOOKUP(A162,DATA_MATRIZ,92,FALSE),"")</f>
        <v/>
      </c>
      <c r="J162" s="16" t="str">
        <f t="shared" ref="J162:J172" si="98">IFERROR(VLOOKUP(A162,DATA_MATRIZ,98,FALSE),"")</f>
        <v/>
      </c>
      <c r="K162" s="16" t="str">
        <f t="shared" ref="K162:K172" si="99">IFERROR(VLOOKUP(A162,DATA_MATRIZ,93,FALSE),"")</f>
        <v/>
      </c>
      <c r="L162" s="16" t="str">
        <f t="shared" ref="L162:L172" si="100">IFERROR(VLOOKUP(A162,DATA_MATRIZ,99,FALSE),"")</f>
        <v/>
      </c>
      <c r="M162" s="16" t="str">
        <f t="shared" ref="M162:M172" si="101">IFERROR(VLOOKUP(A162,DATA_MATRIZ,94,FALSE),"")</f>
        <v/>
      </c>
      <c r="N162" s="16" t="str">
        <f t="shared" ref="N162:N172" si="102">IFERROR(VLOOKUP(A162,DATA_MATRIZ,100,FALSE),"")</f>
        <v/>
      </c>
      <c r="O162" s="16" t="str">
        <f t="shared" ref="O162:O172" si="103">IFERROR(VLOOKUP(A162,DATA_MATRIZ,95,FALSE),"")</f>
        <v/>
      </c>
      <c r="P162" s="16" t="str">
        <f t="shared" ref="P162:P172" si="104">IFERROR(VLOOKUP(A162,DATA_MATRIZ,101,FALSE),"")</f>
        <v/>
      </c>
      <c r="S162" s="18"/>
    </row>
    <row r="163" spans="1:19" ht="13.8">
      <c r="A163" s="10">
        <f ca="1">IFERROR(__xludf.DUMMYFUNCTION("""COMPUTED_VALUE"""),162)</f>
        <v>162</v>
      </c>
      <c r="B163" s="10" t="str">
        <f t="shared" ca="1" si="90"/>
        <v>CLIP Tunjuelito</v>
      </c>
      <c r="C163" s="11">
        <f t="shared" ca="1" si="91"/>
        <v>45372</v>
      </c>
      <c r="D163" s="16">
        <f t="shared" ca="1" si="92"/>
        <v>0</v>
      </c>
      <c r="E163" s="16">
        <f t="shared" ca="1" si="93"/>
        <v>0</v>
      </c>
      <c r="F163" s="16">
        <f t="shared" ca="1" si="94"/>
        <v>0</v>
      </c>
      <c r="G163" s="16">
        <f t="shared" ca="1" si="95"/>
        <v>0</v>
      </c>
      <c r="H163" s="16">
        <f t="shared" ca="1" si="96"/>
        <v>0</v>
      </c>
      <c r="I163" s="16">
        <f t="shared" ca="1" si="97"/>
        <v>0</v>
      </c>
      <c r="J163" s="16">
        <f t="shared" ca="1" si="98"/>
        <v>0</v>
      </c>
      <c r="K163" s="16">
        <f t="shared" ca="1" si="99"/>
        <v>0</v>
      </c>
      <c r="L163" s="16">
        <f t="shared" ca="1" si="100"/>
        <v>0</v>
      </c>
      <c r="M163" s="16">
        <f t="shared" ca="1" si="101"/>
        <v>0</v>
      </c>
      <c r="N163" s="16">
        <f t="shared" ca="1" si="102"/>
        <v>0</v>
      </c>
      <c r="O163" s="16">
        <f t="shared" ca="1" si="103"/>
        <v>0</v>
      </c>
      <c r="P163" s="16">
        <f t="shared" ca="1" si="104"/>
        <v>0</v>
      </c>
      <c r="S163" s="18"/>
    </row>
    <row r="164" spans="1:19" ht="13.8">
      <c r="A164" s="10">
        <f ca="1">IFERROR(__xludf.DUMMYFUNCTION("""COMPUTED_VALUE"""),163)</f>
        <v>163</v>
      </c>
      <c r="B164" s="10" t="str">
        <f t="shared" ca="1" si="90"/>
        <v>Gestión:Mesa Rural Bogotá</v>
      </c>
      <c r="C164" s="11">
        <f t="shared" ca="1" si="91"/>
        <v>45372</v>
      </c>
      <c r="D164" s="16">
        <f t="shared" ca="1" si="92"/>
        <v>0</v>
      </c>
      <c r="E164" s="16">
        <f t="shared" ca="1" si="93"/>
        <v>0</v>
      </c>
      <c r="F164" s="16">
        <f t="shared" ca="1" si="94"/>
        <v>0</v>
      </c>
      <c r="G164" s="16">
        <f t="shared" ca="1" si="95"/>
        <v>0</v>
      </c>
      <c r="H164" s="16">
        <f t="shared" ca="1" si="96"/>
        <v>0</v>
      </c>
      <c r="I164" s="16">
        <f t="shared" ca="1" si="97"/>
        <v>0</v>
      </c>
      <c r="J164" s="16">
        <f t="shared" ca="1" si="98"/>
        <v>0</v>
      </c>
      <c r="K164" s="16">
        <f t="shared" ca="1" si="99"/>
        <v>0</v>
      </c>
      <c r="L164" s="16">
        <f t="shared" ca="1" si="100"/>
        <v>0</v>
      </c>
      <c r="M164" s="16">
        <f t="shared" ca="1" si="101"/>
        <v>0</v>
      </c>
      <c r="N164" s="16">
        <f t="shared" ca="1" si="102"/>
        <v>0</v>
      </c>
      <c r="O164" s="16">
        <f t="shared" ca="1" si="103"/>
        <v>0</v>
      </c>
      <c r="P164" s="16">
        <f t="shared" ca="1" si="104"/>
        <v>0</v>
      </c>
      <c r="S164" s="18"/>
    </row>
    <row r="165" spans="1:19" ht="41.4">
      <c r="A165" s="10">
        <f ca="1">IFERROR(__xludf.DUMMYFUNCTION("""COMPUTED_VALUE"""),164)</f>
        <v>164</v>
      </c>
      <c r="B165" s="10" t="str">
        <f t="shared" ca="1" si="90"/>
        <v>Diálogo ciudadano para la formulación del Plan Distrital de Desarrollo PDD- LGBTI</v>
      </c>
      <c r="C165" s="11">
        <f t="shared" ca="1" si="91"/>
        <v>45372</v>
      </c>
      <c r="D165" s="16">
        <f t="shared" ca="1" si="92"/>
        <v>0</v>
      </c>
      <c r="E165" s="16">
        <f t="shared" ca="1" si="93"/>
        <v>0</v>
      </c>
      <c r="F165" s="16">
        <f t="shared" ca="1" si="94"/>
        <v>0</v>
      </c>
      <c r="G165" s="16">
        <f t="shared" ca="1" si="95"/>
        <v>0</v>
      </c>
      <c r="H165" s="16">
        <f t="shared" ca="1" si="96"/>
        <v>0</v>
      </c>
      <c r="I165" s="16">
        <f t="shared" ca="1" si="97"/>
        <v>0</v>
      </c>
      <c r="J165" s="16">
        <f t="shared" ca="1" si="98"/>
        <v>0</v>
      </c>
      <c r="K165" s="16">
        <f t="shared" ca="1" si="99"/>
        <v>0</v>
      </c>
      <c r="L165" s="16">
        <f t="shared" ca="1" si="100"/>
        <v>0</v>
      </c>
      <c r="M165" s="16">
        <f t="shared" ca="1" si="101"/>
        <v>0</v>
      </c>
      <c r="N165" s="16">
        <f t="shared" ca="1" si="102"/>
        <v>0</v>
      </c>
      <c r="O165" s="16">
        <f t="shared" ca="1" si="103"/>
        <v>0</v>
      </c>
      <c r="P165" s="16">
        <f t="shared" ca="1" si="104"/>
        <v>0</v>
      </c>
      <c r="S165" s="18"/>
    </row>
    <row r="166" spans="1:19" ht="41.4">
      <c r="A166" s="10">
        <f ca="1">IFERROR(__xludf.DUMMYFUNCTION("""COMPUTED_VALUE"""),165)</f>
        <v>165</v>
      </c>
      <c r="B166" s="10" t="str">
        <f t="shared" ca="1" si="90"/>
        <v>Dialogo Ciudadano para la Construcción del PDD - UPL Arborizadora</v>
      </c>
      <c r="C166" s="11">
        <f t="shared" ca="1" si="91"/>
        <v>45372</v>
      </c>
      <c r="D166" s="16">
        <f t="shared" ca="1" si="92"/>
        <v>0</v>
      </c>
      <c r="E166" s="16">
        <f t="shared" ca="1" si="93"/>
        <v>0</v>
      </c>
      <c r="F166" s="16">
        <f t="shared" ca="1" si="94"/>
        <v>0</v>
      </c>
      <c r="G166" s="16">
        <f t="shared" ca="1" si="95"/>
        <v>0</v>
      </c>
      <c r="H166" s="16">
        <f t="shared" ca="1" si="96"/>
        <v>0</v>
      </c>
      <c r="I166" s="16">
        <f t="shared" ca="1" si="97"/>
        <v>0</v>
      </c>
      <c r="J166" s="16">
        <f t="shared" ca="1" si="98"/>
        <v>0</v>
      </c>
      <c r="K166" s="16">
        <f t="shared" ca="1" si="99"/>
        <v>0</v>
      </c>
      <c r="L166" s="16">
        <f t="shared" ca="1" si="100"/>
        <v>0</v>
      </c>
      <c r="M166" s="16">
        <f t="shared" ca="1" si="101"/>
        <v>0</v>
      </c>
      <c r="N166" s="16">
        <f t="shared" ca="1" si="102"/>
        <v>0</v>
      </c>
      <c r="O166" s="16">
        <f t="shared" ca="1" si="103"/>
        <v>0</v>
      </c>
      <c r="P166" s="16">
        <f t="shared" ca="1" si="104"/>
        <v>0</v>
      </c>
      <c r="S166" s="18"/>
    </row>
    <row r="167" spans="1:19" ht="55.2">
      <c r="A167" s="10">
        <f ca="1">IFERROR(__xludf.DUMMYFUNCTION("""COMPUTED_VALUE"""),166)</f>
        <v>166</v>
      </c>
      <c r="B167" s="10" t="str">
        <f t="shared" ca="1" si="90"/>
        <v>Gestión: reunión con ACNUR sobre la participación de migrantes en el marco de la formulación del PDD</v>
      </c>
      <c r="C167" s="11">
        <f t="shared" ca="1" si="91"/>
        <v>45372</v>
      </c>
      <c r="D167" s="16">
        <f t="shared" ca="1" si="92"/>
        <v>0</v>
      </c>
      <c r="E167" s="16">
        <f t="shared" ca="1" si="93"/>
        <v>0</v>
      </c>
      <c r="F167" s="16">
        <f t="shared" ca="1" si="94"/>
        <v>0</v>
      </c>
      <c r="G167" s="16">
        <f t="shared" ca="1" si="95"/>
        <v>0</v>
      </c>
      <c r="H167" s="16">
        <f t="shared" ca="1" si="96"/>
        <v>0</v>
      </c>
      <c r="I167" s="16">
        <f t="shared" ca="1" si="97"/>
        <v>0</v>
      </c>
      <c r="J167" s="16">
        <f t="shared" ca="1" si="98"/>
        <v>0</v>
      </c>
      <c r="K167" s="16">
        <f t="shared" ca="1" si="99"/>
        <v>0</v>
      </c>
      <c r="L167" s="16">
        <f t="shared" ca="1" si="100"/>
        <v>0</v>
      </c>
      <c r="M167" s="16">
        <f t="shared" ca="1" si="101"/>
        <v>0</v>
      </c>
      <c r="N167" s="16">
        <f t="shared" ca="1" si="102"/>
        <v>0</v>
      </c>
      <c r="O167" s="16">
        <f t="shared" ca="1" si="103"/>
        <v>0</v>
      </c>
      <c r="P167" s="16">
        <f t="shared" ca="1" si="104"/>
        <v>0</v>
      </c>
      <c r="S167" s="18"/>
    </row>
    <row r="168" spans="1:19" ht="41.4">
      <c r="A168" s="10">
        <f ca="1">IFERROR(__xludf.DUMMYFUNCTION("""COMPUTED_VALUE"""),167)</f>
        <v>167</v>
      </c>
      <c r="B168" s="10" t="str">
        <f t="shared" ca="1" si="90"/>
        <v>I Diálogo Ciudadano Poblacional para la Construcción del PDD - Comunidad Palenquera</v>
      </c>
      <c r="C168" s="11">
        <f t="shared" ca="1" si="91"/>
        <v>45372</v>
      </c>
      <c r="D168" s="16">
        <f t="shared" ca="1" si="92"/>
        <v>0</v>
      </c>
      <c r="E168" s="16">
        <f t="shared" ca="1" si="93"/>
        <v>0</v>
      </c>
      <c r="F168" s="16">
        <f t="shared" ca="1" si="94"/>
        <v>0</v>
      </c>
      <c r="G168" s="16">
        <f t="shared" ca="1" si="95"/>
        <v>0</v>
      </c>
      <c r="H168" s="16">
        <f t="shared" ca="1" si="96"/>
        <v>0</v>
      </c>
      <c r="I168" s="16">
        <f t="shared" ca="1" si="97"/>
        <v>0</v>
      </c>
      <c r="J168" s="16">
        <f t="shared" ca="1" si="98"/>
        <v>0</v>
      </c>
      <c r="K168" s="16">
        <f t="shared" ca="1" si="99"/>
        <v>0</v>
      </c>
      <c r="L168" s="16">
        <f t="shared" ca="1" si="100"/>
        <v>0</v>
      </c>
      <c r="M168" s="16">
        <f t="shared" ca="1" si="101"/>
        <v>0</v>
      </c>
      <c r="N168" s="16">
        <f t="shared" ca="1" si="102"/>
        <v>0</v>
      </c>
      <c r="O168" s="16">
        <f t="shared" ca="1" si="103"/>
        <v>0</v>
      </c>
      <c r="P168" s="16">
        <f t="shared" ca="1" si="104"/>
        <v>0</v>
      </c>
      <c r="S168" s="18"/>
    </row>
    <row r="169" spans="1:19" ht="27.6">
      <c r="A169" s="10">
        <f ca="1">IFERROR(__xludf.DUMMYFUNCTION("""COMPUTED_VALUE"""),168)</f>
        <v>168</v>
      </c>
      <c r="B169" s="10" t="str">
        <f t="shared" ca="1" si="90"/>
        <v>Sesión Comisión Intersectorial de Participación (CIP)</v>
      </c>
      <c r="C169" s="11">
        <f t="shared" ca="1" si="91"/>
        <v>45373</v>
      </c>
      <c r="D169" s="16">
        <f t="shared" ca="1" si="92"/>
        <v>0</v>
      </c>
      <c r="E169" s="16">
        <f t="shared" ca="1" si="93"/>
        <v>0</v>
      </c>
      <c r="F169" s="16">
        <f t="shared" ca="1" si="94"/>
        <v>0</v>
      </c>
      <c r="G169" s="16">
        <f t="shared" ca="1" si="95"/>
        <v>0</v>
      </c>
      <c r="H169" s="16">
        <f t="shared" ca="1" si="96"/>
        <v>0</v>
      </c>
      <c r="I169" s="16">
        <f t="shared" ca="1" si="97"/>
        <v>0</v>
      </c>
      <c r="J169" s="16">
        <f t="shared" ca="1" si="98"/>
        <v>0</v>
      </c>
      <c r="K169" s="16">
        <f t="shared" ca="1" si="99"/>
        <v>0</v>
      </c>
      <c r="L169" s="16">
        <f t="shared" ca="1" si="100"/>
        <v>0</v>
      </c>
      <c r="M169" s="16">
        <f t="shared" ca="1" si="101"/>
        <v>0</v>
      </c>
      <c r="N169" s="16">
        <f t="shared" ca="1" si="102"/>
        <v>0</v>
      </c>
      <c r="O169" s="16">
        <f t="shared" ca="1" si="103"/>
        <v>0</v>
      </c>
      <c r="P169" s="16">
        <f t="shared" ca="1" si="104"/>
        <v>0</v>
      </c>
      <c r="S169" s="18"/>
    </row>
    <row r="170" spans="1:19" ht="41.4">
      <c r="A170" s="10">
        <f ca="1">IFERROR(__xludf.DUMMYFUNCTION("""COMPUTED_VALUE"""),169)</f>
        <v>169</v>
      </c>
      <c r="B170" s="10" t="str">
        <f t="shared" ca="1" si="90"/>
        <v xml:space="preserve">II Diálogo Ciudadano Poblacional para la Construcción del PDD - Consultiva Negra-afrocolombiana </v>
      </c>
      <c r="C170" s="11">
        <f t="shared" ca="1" si="91"/>
        <v>45373</v>
      </c>
      <c r="D170" s="16">
        <f t="shared" ca="1" si="92"/>
        <v>0</v>
      </c>
      <c r="E170" s="16">
        <f t="shared" ca="1" si="93"/>
        <v>0</v>
      </c>
      <c r="F170" s="16">
        <f t="shared" ca="1" si="94"/>
        <v>0</v>
      </c>
      <c r="G170" s="16">
        <f t="shared" ca="1" si="95"/>
        <v>0</v>
      </c>
      <c r="H170" s="16">
        <f t="shared" ca="1" si="96"/>
        <v>0</v>
      </c>
      <c r="I170" s="16">
        <f t="shared" ca="1" si="97"/>
        <v>0</v>
      </c>
      <c r="J170" s="16">
        <f t="shared" ca="1" si="98"/>
        <v>0</v>
      </c>
      <c r="K170" s="16">
        <f t="shared" ca="1" si="99"/>
        <v>0</v>
      </c>
      <c r="L170" s="16">
        <f t="shared" ca="1" si="100"/>
        <v>0</v>
      </c>
      <c r="M170" s="16">
        <f t="shared" ca="1" si="101"/>
        <v>0</v>
      </c>
      <c r="N170" s="16">
        <f t="shared" ca="1" si="102"/>
        <v>0</v>
      </c>
      <c r="O170" s="16">
        <f t="shared" ca="1" si="103"/>
        <v>0</v>
      </c>
      <c r="P170" s="16">
        <f t="shared" ca="1" si="104"/>
        <v>0</v>
      </c>
      <c r="S170" s="18"/>
    </row>
    <row r="171" spans="1:19" ht="41.4">
      <c r="A171" s="10">
        <f ca="1">IFERROR(__xludf.DUMMYFUNCTION("""COMPUTED_VALUE"""),170)</f>
        <v>170</v>
      </c>
      <c r="B171" s="10" t="str">
        <f t="shared" ca="1" si="90"/>
        <v xml:space="preserve">Socialización de PDD a la Mesa de Indígenas Víctimas del Conflicto Armado </v>
      </c>
      <c r="C171" s="11">
        <f t="shared" ca="1" si="91"/>
        <v>45373</v>
      </c>
      <c r="D171" s="16">
        <f t="shared" ca="1" si="92"/>
        <v>0</v>
      </c>
      <c r="E171" s="16">
        <f t="shared" ca="1" si="93"/>
        <v>0</v>
      </c>
      <c r="F171" s="16">
        <f t="shared" ca="1" si="94"/>
        <v>0</v>
      </c>
      <c r="G171" s="16">
        <f t="shared" ca="1" si="95"/>
        <v>0</v>
      </c>
      <c r="H171" s="16">
        <f t="shared" ca="1" si="96"/>
        <v>0</v>
      </c>
      <c r="I171" s="16">
        <f t="shared" ca="1" si="97"/>
        <v>0</v>
      </c>
      <c r="J171" s="16">
        <f t="shared" ca="1" si="98"/>
        <v>0</v>
      </c>
      <c r="K171" s="16">
        <f t="shared" ca="1" si="99"/>
        <v>0</v>
      </c>
      <c r="L171" s="16">
        <f t="shared" ca="1" si="100"/>
        <v>0</v>
      </c>
      <c r="M171" s="16">
        <f t="shared" ca="1" si="101"/>
        <v>0</v>
      </c>
      <c r="N171" s="16">
        <f t="shared" ca="1" si="102"/>
        <v>0</v>
      </c>
      <c r="O171" s="16">
        <f t="shared" ca="1" si="103"/>
        <v>0</v>
      </c>
      <c r="P171" s="16">
        <f t="shared" ca="1" si="104"/>
        <v>0</v>
      </c>
      <c r="S171" s="18"/>
    </row>
    <row r="172" spans="1:19" ht="41.4">
      <c r="A172" s="10">
        <f ca="1">IFERROR(__xludf.DUMMYFUNCTION("""COMPUTED_VALUE"""),171)</f>
        <v>171</v>
      </c>
      <c r="B172" s="10" t="str">
        <f t="shared" ca="1" si="90"/>
        <v>Dialogo Ciudadano para la Construcción del PDD - UPL Tibabuyes</v>
      </c>
      <c r="C172" s="11">
        <f t="shared" ca="1" si="91"/>
        <v>45373</v>
      </c>
      <c r="D172" s="16">
        <f t="shared" ca="1" si="92"/>
        <v>0</v>
      </c>
      <c r="E172" s="16">
        <f t="shared" ca="1" si="93"/>
        <v>0</v>
      </c>
      <c r="F172" s="16">
        <f t="shared" ca="1" si="94"/>
        <v>0</v>
      </c>
      <c r="G172" s="16">
        <f t="shared" ca="1" si="95"/>
        <v>0</v>
      </c>
      <c r="H172" s="16">
        <f t="shared" ca="1" si="96"/>
        <v>0</v>
      </c>
      <c r="I172" s="16">
        <f t="shared" ca="1" si="97"/>
        <v>0</v>
      </c>
      <c r="J172" s="16">
        <f t="shared" ca="1" si="98"/>
        <v>0</v>
      </c>
      <c r="K172" s="16">
        <f t="shared" ca="1" si="99"/>
        <v>0</v>
      </c>
      <c r="L172" s="16">
        <f t="shared" ca="1" si="100"/>
        <v>0</v>
      </c>
      <c r="M172" s="16">
        <f t="shared" ca="1" si="101"/>
        <v>0</v>
      </c>
      <c r="N172" s="16">
        <f t="shared" ca="1" si="102"/>
        <v>0</v>
      </c>
      <c r="O172" s="16">
        <f t="shared" ca="1" si="103"/>
        <v>0</v>
      </c>
      <c r="P172" s="16">
        <f t="shared" ca="1" si="104"/>
        <v>0</v>
      </c>
      <c r="S172" s="18"/>
    </row>
    <row r="173" spans="1:19" ht="13.8">
      <c r="A173" s="9">
        <f ca="1">IFERROR(__xludf.DUMMYFUNCTION("""COMPUTED_VALUE"""),172)</f>
        <v>172</v>
      </c>
      <c r="B173" s="10"/>
      <c r="C173" s="19"/>
      <c r="D173" s="20"/>
      <c r="E173" s="16"/>
      <c r="F173" s="16"/>
      <c r="G173" s="16"/>
      <c r="H173" s="16"/>
      <c r="I173" s="16"/>
      <c r="J173" s="16"/>
      <c r="K173" s="16"/>
      <c r="L173" s="16"/>
      <c r="M173" s="16"/>
      <c r="N173" s="16"/>
      <c r="O173" s="16"/>
      <c r="S173" s="18"/>
    </row>
    <row r="174" spans="1:19" ht="13.8">
      <c r="A174" s="9">
        <f ca="1">IFERROR(__xludf.DUMMYFUNCTION("""COMPUTED_VALUE"""),173)</f>
        <v>173</v>
      </c>
      <c r="B174" s="10"/>
      <c r="C174" s="19"/>
      <c r="D174" s="20"/>
      <c r="E174" s="16"/>
      <c r="F174" s="16"/>
      <c r="G174" s="16"/>
      <c r="H174" s="16"/>
      <c r="I174" s="16"/>
      <c r="J174" s="16"/>
      <c r="K174" s="16"/>
      <c r="L174" s="16"/>
      <c r="M174" s="16"/>
      <c r="N174" s="16"/>
      <c r="O174" s="16"/>
      <c r="S174" s="18"/>
    </row>
    <row r="175" spans="1:19" ht="13.8">
      <c r="A175" s="9">
        <f ca="1">IFERROR(__xludf.DUMMYFUNCTION("""COMPUTED_VALUE"""),174)</f>
        <v>174</v>
      </c>
      <c r="B175" s="10"/>
      <c r="C175" s="19"/>
      <c r="D175" s="20"/>
      <c r="E175" s="16"/>
      <c r="F175" s="16"/>
      <c r="G175" s="16"/>
      <c r="H175" s="16"/>
      <c r="I175" s="16"/>
      <c r="J175" s="16"/>
      <c r="K175" s="16"/>
      <c r="L175" s="16"/>
      <c r="M175" s="16"/>
      <c r="N175" s="16"/>
      <c r="O175" s="16"/>
      <c r="S175" s="18"/>
    </row>
    <row r="176" spans="1:19" ht="13.8">
      <c r="A176" s="9">
        <f ca="1">IFERROR(__xludf.DUMMYFUNCTION("""COMPUTED_VALUE"""),175)</f>
        <v>175</v>
      </c>
      <c r="B176" s="10"/>
      <c r="C176" s="19"/>
      <c r="D176" s="20"/>
      <c r="E176" s="16"/>
      <c r="F176" s="16"/>
      <c r="G176" s="16"/>
      <c r="H176" s="16"/>
      <c r="I176" s="16"/>
      <c r="J176" s="16"/>
      <c r="K176" s="16"/>
      <c r="L176" s="16"/>
      <c r="M176" s="16"/>
      <c r="N176" s="16"/>
      <c r="O176" s="16"/>
      <c r="S176" s="18"/>
    </row>
    <row r="177" spans="1:19" ht="13.8">
      <c r="A177" s="9">
        <f ca="1">IFERROR(__xludf.DUMMYFUNCTION("""COMPUTED_VALUE"""),176)</f>
        <v>176</v>
      </c>
      <c r="B177" s="10"/>
      <c r="C177" s="19"/>
      <c r="D177" s="20"/>
      <c r="E177" s="16"/>
      <c r="F177" s="16"/>
      <c r="G177" s="16"/>
      <c r="H177" s="16"/>
      <c r="I177" s="16"/>
      <c r="J177" s="16"/>
      <c r="K177" s="16"/>
      <c r="L177" s="16"/>
      <c r="M177" s="16"/>
      <c r="N177" s="16"/>
      <c r="O177" s="16"/>
      <c r="S177" s="18"/>
    </row>
    <row r="178" spans="1:19" ht="13.8">
      <c r="A178" s="9">
        <f ca="1">IFERROR(__xludf.DUMMYFUNCTION("""COMPUTED_VALUE"""),177)</f>
        <v>177</v>
      </c>
      <c r="B178" s="10"/>
      <c r="C178" s="19"/>
      <c r="D178" s="20"/>
      <c r="E178" s="16"/>
      <c r="F178" s="16"/>
      <c r="G178" s="16"/>
      <c r="H178" s="16"/>
      <c r="I178" s="16"/>
      <c r="J178" s="16"/>
      <c r="K178" s="16"/>
      <c r="L178" s="16"/>
      <c r="M178" s="16"/>
      <c r="N178" s="16"/>
      <c r="O178" s="16"/>
      <c r="S178" s="18"/>
    </row>
    <row r="179" spans="1:19" ht="13.8">
      <c r="A179" s="9">
        <f ca="1">IFERROR(__xludf.DUMMYFUNCTION("""COMPUTED_VALUE"""),178)</f>
        <v>178</v>
      </c>
      <c r="B179" s="10"/>
      <c r="C179" s="19"/>
      <c r="D179" s="20"/>
      <c r="E179" s="16"/>
      <c r="F179" s="16"/>
      <c r="G179" s="16"/>
      <c r="H179" s="16"/>
      <c r="I179" s="16"/>
      <c r="J179" s="16"/>
      <c r="K179" s="16"/>
      <c r="L179" s="16"/>
      <c r="M179" s="16"/>
      <c r="N179" s="16"/>
      <c r="O179" s="16"/>
      <c r="S179" s="18"/>
    </row>
    <row r="180" spans="1:19" ht="13.8">
      <c r="A180" s="9">
        <f ca="1">IFERROR(__xludf.DUMMYFUNCTION("""COMPUTED_VALUE"""),179)</f>
        <v>179</v>
      </c>
      <c r="B180" s="10"/>
      <c r="C180" s="19"/>
      <c r="D180" s="20"/>
      <c r="E180" s="16"/>
      <c r="F180" s="16"/>
      <c r="G180" s="16"/>
      <c r="H180" s="16"/>
      <c r="I180" s="16"/>
      <c r="J180" s="16"/>
      <c r="K180" s="16"/>
      <c r="L180" s="16"/>
      <c r="M180" s="16"/>
      <c r="N180" s="16"/>
      <c r="O180" s="16"/>
      <c r="S180" s="18"/>
    </row>
    <row r="181" spans="1:19" ht="13.8">
      <c r="A181" s="9">
        <f ca="1">IFERROR(__xludf.DUMMYFUNCTION("""COMPUTED_VALUE"""),180)</f>
        <v>180</v>
      </c>
      <c r="B181" s="10"/>
      <c r="C181" s="19"/>
      <c r="D181" s="20"/>
      <c r="E181" s="16"/>
      <c r="F181" s="16"/>
      <c r="G181" s="16"/>
      <c r="H181" s="16"/>
      <c r="I181" s="16"/>
      <c r="J181" s="16"/>
      <c r="K181" s="16"/>
      <c r="L181" s="16"/>
      <c r="M181" s="16"/>
      <c r="N181" s="16"/>
      <c r="O181" s="16"/>
      <c r="S181" s="18"/>
    </row>
    <row r="182" spans="1:19" ht="13.8">
      <c r="A182" s="9">
        <f ca="1">IFERROR(__xludf.DUMMYFUNCTION("""COMPUTED_VALUE"""),181)</f>
        <v>181</v>
      </c>
      <c r="B182" s="10"/>
      <c r="C182" s="19"/>
      <c r="D182" s="20"/>
      <c r="E182" s="16"/>
      <c r="F182" s="16"/>
      <c r="G182" s="16"/>
      <c r="H182" s="16"/>
      <c r="I182" s="16"/>
      <c r="J182" s="16"/>
      <c r="K182" s="16"/>
      <c r="L182" s="16"/>
      <c r="M182" s="16"/>
      <c r="N182" s="16"/>
      <c r="O182" s="16"/>
      <c r="S182" s="18"/>
    </row>
    <row r="183" spans="1:19" ht="13.8">
      <c r="A183" s="9">
        <f ca="1">IFERROR(__xludf.DUMMYFUNCTION("""COMPUTED_VALUE"""),182)</f>
        <v>182</v>
      </c>
      <c r="B183" s="10"/>
      <c r="C183" s="19"/>
      <c r="D183" s="20"/>
      <c r="E183" s="16"/>
      <c r="F183" s="16"/>
      <c r="G183" s="16"/>
      <c r="H183" s="16"/>
      <c r="I183" s="16"/>
      <c r="J183" s="16"/>
      <c r="K183" s="16"/>
      <c r="L183" s="16"/>
      <c r="M183" s="16"/>
      <c r="N183" s="16"/>
      <c r="O183" s="16"/>
      <c r="S183" s="18"/>
    </row>
    <row r="184" spans="1:19" ht="13.8">
      <c r="A184" s="9">
        <f ca="1">IFERROR(__xludf.DUMMYFUNCTION("""COMPUTED_VALUE"""),183)</f>
        <v>183</v>
      </c>
      <c r="B184" s="10"/>
      <c r="C184" s="19"/>
      <c r="D184" s="20"/>
      <c r="E184" s="16"/>
      <c r="F184" s="16"/>
      <c r="G184" s="16"/>
      <c r="H184" s="16"/>
      <c r="I184" s="16"/>
      <c r="J184" s="16"/>
      <c r="K184" s="16"/>
      <c r="L184" s="16"/>
      <c r="M184" s="16"/>
      <c r="N184" s="16"/>
      <c r="O184" s="16"/>
      <c r="S184" s="18"/>
    </row>
    <row r="185" spans="1:19" ht="13.8">
      <c r="A185" s="9">
        <f ca="1">IFERROR(__xludf.DUMMYFUNCTION("""COMPUTED_VALUE"""),184)</f>
        <v>184</v>
      </c>
      <c r="B185" s="10"/>
      <c r="C185" s="19"/>
      <c r="D185" s="20"/>
      <c r="E185" s="16"/>
      <c r="F185" s="16"/>
      <c r="G185" s="16"/>
      <c r="H185" s="16"/>
      <c r="I185" s="16"/>
      <c r="J185" s="16"/>
      <c r="K185" s="16"/>
      <c r="L185" s="16"/>
      <c r="M185" s="16"/>
      <c r="N185" s="16"/>
      <c r="O185" s="16"/>
      <c r="S185" s="18"/>
    </row>
    <row r="186" spans="1:19" ht="13.8">
      <c r="A186" s="9">
        <f ca="1">IFERROR(__xludf.DUMMYFUNCTION("""COMPUTED_VALUE"""),185)</f>
        <v>185</v>
      </c>
      <c r="B186" s="10"/>
      <c r="C186" s="19"/>
      <c r="D186" s="20"/>
      <c r="E186" s="16"/>
      <c r="F186" s="16"/>
      <c r="G186" s="16"/>
      <c r="H186" s="16"/>
      <c r="I186" s="16"/>
      <c r="J186" s="16"/>
      <c r="K186" s="16"/>
      <c r="L186" s="16"/>
      <c r="M186" s="16"/>
      <c r="N186" s="16"/>
      <c r="O186" s="16"/>
      <c r="S186" s="18"/>
    </row>
    <row r="187" spans="1:19" ht="13.8">
      <c r="A187" s="9">
        <f ca="1">IFERROR(__xludf.DUMMYFUNCTION("""COMPUTED_VALUE"""),186)</f>
        <v>186</v>
      </c>
      <c r="B187" s="10"/>
      <c r="C187" s="19"/>
      <c r="D187" s="20"/>
      <c r="E187" s="16"/>
      <c r="F187" s="16"/>
      <c r="G187" s="16"/>
      <c r="H187" s="16"/>
      <c r="I187" s="16"/>
      <c r="J187" s="16"/>
      <c r="K187" s="16"/>
      <c r="L187" s="16"/>
      <c r="M187" s="16"/>
      <c r="N187" s="16"/>
      <c r="O187" s="16"/>
      <c r="S187" s="18"/>
    </row>
    <row r="188" spans="1:19" ht="13.8">
      <c r="A188" s="9">
        <f ca="1">IFERROR(__xludf.DUMMYFUNCTION("""COMPUTED_VALUE"""),187)</f>
        <v>187</v>
      </c>
      <c r="B188" s="10"/>
      <c r="C188" s="19"/>
      <c r="D188" s="20"/>
      <c r="E188" s="16"/>
      <c r="F188" s="16"/>
      <c r="G188" s="16"/>
      <c r="H188" s="16"/>
      <c r="I188" s="16"/>
      <c r="J188" s="16"/>
      <c r="K188" s="16"/>
      <c r="L188" s="16"/>
      <c r="M188" s="16"/>
      <c r="N188" s="16"/>
      <c r="O188" s="16"/>
      <c r="S188" s="18"/>
    </row>
    <row r="189" spans="1:19" ht="13.8">
      <c r="A189" s="9">
        <f ca="1">IFERROR(__xludf.DUMMYFUNCTION("""COMPUTED_VALUE"""),188)</f>
        <v>188</v>
      </c>
      <c r="B189" s="10"/>
      <c r="C189" s="19"/>
      <c r="D189" s="20"/>
      <c r="E189" s="16"/>
      <c r="F189" s="16"/>
      <c r="G189" s="16"/>
      <c r="H189" s="16"/>
      <c r="I189" s="16"/>
      <c r="J189" s="16"/>
      <c r="K189" s="16"/>
      <c r="L189" s="16"/>
      <c r="M189" s="16"/>
      <c r="N189" s="16"/>
      <c r="O189" s="16"/>
      <c r="S189" s="18"/>
    </row>
    <row r="190" spans="1:19" ht="13.8">
      <c r="A190" s="9">
        <f ca="1">IFERROR(__xludf.DUMMYFUNCTION("""COMPUTED_VALUE"""),189)</f>
        <v>189</v>
      </c>
      <c r="B190" s="10"/>
      <c r="C190" s="19"/>
      <c r="D190" s="20"/>
      <c r="E190" s="16"/>
      <c r="F190" s="16"/>
      <c r="G190" s="16"/>
      <c r="H190" s="16"/>
      <c r="I190" s="16"/>
      <c r="J190" s="16"/>
      <c r="K190" s="16"/>
      <c r="L190" s="16"/>
      <c r="M190" s="16"/>
      <c r="N190" s="16"/>
      <c r="O190" s="16"/>
      <c r="S190" s="18"/>
    </row>
    <row r="191" spans="1:19" ht="13.8">
      <c r="A191" s="9">
        <f ca="1">IFERROR(__xludf.DUMMYFUNCTION("""COMPUTED_VALUE"""),190)</f>
        <v>190</v>
      </c>
      <c r="B191" s="10"/>
      <c r="C191" s="19"/>
      <c r="D191" s="20"/>
      <c r="E191" s="16"/>
      <c r="F191" s="16"/>
      <c r="G191" s="16"/>
      <c r="H191" s="16"/>
      <c r="I191" s="16"/>
      <c r="J191" s="16"/>
      <c r="K191" s="16"/>
      <c r="L191" s="16"/>
      <c r="M191" s="16"/>
      <c r="N191" s="16"/>
      <c r="O191" s="16"/>
      <c r="S191" s="18"/>
    </row>
    <row r="192" spans="1:19" ht="13.8">
      <c r="A192" s="9">
        <f ca="1">IFERROR(__xludf.DUMMYFUNCTION("""COMPUTED_VALUE"""),191)</f>
        <v>191</v>
      </c>
      <c r="B192" s="10"/>
      <c r="C192" s="19"/>
      <c r="D192" s="20"/>
      <c r="E192" s="16"/>
      <c r="F192" s="16"/>
      <c r="G192" s="16"/>
      <c r="H192" s="16"/>
      <c r="I192" s="16"/>
      <c r="J192" s="16"/>
      <c r="K192" s="16"/>
      <c r="L192" s="16"/>
      <c r="M192" s="16"/>
      <c r="N192" s="16"/>
      <c r="O192" s="16"/>
      <c r="S192" s="18"/>
    </row>
    <row r="193" spans="1:19" ht="13.8">
      <c r="A193" s="9">
        <f ca="1">IFERROR(__xludf.DUMMYFUNCTION("""COMPUTED_VALUE"""),192)</f>
        <v>192</v>
      </c>
      <c r="B193" s="10"/>
      <c r="C193" s="19"/>
      <c r="D193" s="20"/>
      <c r="E193" s="16"/>
      <c r="F193" s="16"/>
      <c r="G193" s="16"/>
      <c r="H193" s="16"/>
      <c r="I193" s="16"/>
      <c r="J193" s="16"/>
      <c r="K193" s="16"/>
      <c r="L193" s="16"/>
      <c r="M193" s="16"/>
      <c r="N193" s="16"/>
      <c r="O193" s="16"/>
      <c r="S193" s="18"/>
    </row>
    <row r="194" spans="1:19" ht="13.8">
      <c r="A194" s="9">
        <f ca="1">IFERROR(__xludf.DUMMYFUNCTION("""COMPUTED_VALUE"""),193)</f>
        <v>193</v>
      </c>
      <c r="B194" s="10"/>
      <c r="C194" s="19"/>
      <c r="D194" s="20"/>
      <c r="E194" s="16"/>
      <c r="F194" s="16"/>
      <c r="G194" s="16"/>
      <c r="H194" s="16"/>
      <c r="I194" s="16"/>
      <c r="J194" s="16"/>
      <c r="K194" s="16"/>
      <c r="L194" s="16"/>
      <c r="M194" s="16"/>
      <c r="N194" s="16"/>
      <c r="O194" s="16"/>
      <c r="S194" s="18"/>
    </row>
    <row r="195" spans="1:19" ht="13.8">
      <c r="A195" s="9">
        <f ca="1">IFERROR(__xludf.DUMMYFUNCTION("""COMPUTED_VALUE"""),194)</f>
        <v>194</v>
      </c>
      <c r="B195" s="10"/>
      <c r="C195" s="19"/>
      <c r="D195" s="20"/>
      <c r="E195" s="16"/>
      <c r="F195" s="16"/>
      <c r="G195" s="16"/>
      <c r="H195" s="16"/>
      <c r="I195" s="16"/>
      <c r="J195" s="16"/>
      <c r="K195" s="16"/>
      <c r="L195" s="16"/>
      <c r="M195" s="16"/>
      <c r="N195" s="16"/>
      <c r="O195" s="16"/>
      <c r="S195" s="18"/>
    </row>
    <row r="196" spans="1:19" ht="13.8">
      <c r="A196" s="9">
        <f ca="1">IFERROR(__xludf.DUMMYFUNCTION("""COMPUTED_VALUE"""),195)</f>
        <v>195</v>
      </c>
      <c r="B196" s="10"/>
      <c r="C196" s="19"/>
      <c r="D196" s="20"/>
      <c r="E196" s="16"/>
      <c r="F196" s="16"/>
      <c r="G196" s="16"/>
      <c r="H196" s="16"/>
      <c r="I196" s="16"/>
      <c r="J196" s="16"/>
      <c r="K196" s="16"/>
      <c r="L196" s="16"/>
      <c r="M196" s="16"/>
      <c r="N196" s="16"/>
      <c r="O196" s="16"/>
      <c r="S196" s="18"/>
    </row>
    <row r="197" spans="1:19" ht="13.8">
      <c r="A197" s="9">
        <f ca="1">IFERROR(__xludf.DUMMYFUNCTION("""COMPUTED_VALUE"""),196)</f>
        <v>196</v>
      </c>
      <c r="B197" s="10"/>
      <c r="C197" s="19"/>
      <c r="D197" s="20"/>
      <c r="E197" s="16"/>
      <c r="F197" s="16"/>
      <c r="G197" s="16"/>
      <c r="H197" s="16"/>
      <c r="I197" s="16"/>
      <c r="J197" s="16"/>
      <c r="K197" s="16"/>
      <c r="L197" s="16"/>
      <c r="M197" s="16"/>
      <c r="N197" s="16"/>
      <c r="O197" s="16"/>
      <c r="S197" s="18"/>
    </row>
    <row r="198" spans="1:19" ht="13.8">
      <c r="A198" s="9"/>
      <c r="B198" s="10"/>
      <c r="C198" s="19"/>
      <c r="D198" s="20"/>
      <c r="E198" s="16"/>
      <c r="F198" s="16"/>
      <c r="G198" s="16"/>
      <c r="H198" s="16"/>
      <c r="I198" s="16"/>
      <c r="J198" s="16"/>
      <c r="K198" s="16"/>
      <c r="L198" s="16"/>
      <c r="M198" s="16"/>
      <c r="N198" s="16"/>
      <c r="O198" s="16"/>
      <c r="S198" s="18"/>
    </row>
    <row r="199" spans="1:19" ht="13.8">
      <c r="A199" s="9">
        <f ca="1">IFERROR(__xludf.DUMMYFUNCTION("""COMPUTED_VALUE"""),198)</f>
        <v>198</v>
      </c>
      <c r="B199" s="10"/>
      <c r="C199" s="19"/>
      <c r="D199" s="20"/>
      <c r="E199" s="16"/>
      <c r="F199" s="16"/>
      <c r="G199" s="16"/>
      <c r="H199" s="16"/>
      <c r="I199" s="16"/>
      <c r="J199" s="16"/>
      <c r="K199" s="16"/>
      <c r="L199" s="16"/>
      <c r="M199" s="16"/>
      <c r="N199" s="16"/>
      <c r="O199" s="16"/>
      <c r="S199" s="18"/>
    </row>
    <row r="200" spans="1:19" ht="13.8">
      <c r="A200" s="9">
        <f ca="1">IFERROR(__xludf.DUMMYFUNCTION("""COMPUTED_VALUE"""),199)</f>
        <v>199</v>
      </c>
      <c r="B200" s="10"/>
      <c r="C200" s="19"/>
      <c r="D200" s="20"/>
      <c r="E200" s="16"/>
      <c r="F200" s="16"/>
      <c r="G200" s="16"/>
      <c r="H200" s="16"/>
      <c r="I200" s="16"/>
      <c r="J200" s="16"/>
      <c r="K200" s="16"/>
      <c r="L200" s="16"/>
      <c r="M200" s="16"/>
      <c r="N200" s="16"/>
      <c r="O200" s="16"/>
      <c r="S200" s="18"/>
    </row>
    <row r="201" spans="1:19" ht="13.8">
      <c r="A201" s="9">
        <f ca="1">IFERROR(__xludf.DUMMYFUNCTION("""COMPUTED_VALUE"""),200)</f>
        <v>200</v>
      </c>
      <c r="B201" s="10"/>
      <c r="C201" s="19"/>
      <c r="D201" s="20"/>
      <c r="E201" s="16"/>
      <c r="F201" s="16"/>
      <c r="G201" s="16"/>
      <c r="H201" s="16"/>
      <c r="I201" s="16"/>
      <c r="J201" s="16"/>
      <c r="K201" s="16"/>
      <c r="L201" s="16"/>
      <c r="M201" s="16"/>
      <c r="N201" s="16"/>
      <c r="O201" s="16"/>
      <c r="S201" s="18"/>
    </row>
    <row r="202" spans="1:19" ht="13.8">
      <c r="A202" s="9">
        <f ca="1">IFERROR(__xludf.DUMMYFUNCTION("""COMPUTED_VALUE"""),201)</f>
        <v>201</v>
      </c>
      <c r="C202" s="19"/>
      <c r="D202" s="20"/>
      <c r="E202" s="16"/>
      <c r="F202" s="16"/>
      <c r="G202" s="16"/>
      <c r="H202" s="16"/>
      <c r="I202" s="16"/>
      <c r="J202" s="16"/>
      <c r="K202" s="16"/>
      <c r="L202" s="16"/>
      <c r="M202" s="16"/>
      <c r="N202" s="16"/>
      <c r="O202" s="16"/>
      <c r="S202" s="18"/>
    </row>
    <row r="203" spans="1:19" ht="13.8">
      <c r="A203" s="9">
        <f ca="1">IFERROR(__xludf.DUMMYFUNCTION("""COMPUTED_VALUE"""),202)</f>
        <v>202</v>
      </c>
      <c r="C203" s="19"/>
      <c r="D203" s="20"/>
      <c r="E203" s="16"/>
      <c r="F203" s="16"/>
      <c r="G203" s="16"/>
      <c r="H203" s="16"/>
      <c r="I203" s="16"/>
      <c r="J203" s="16"/>
      <c r="K203" s="16"/>
      <c r="L203" s="16"/>
      <c r="M203" s="16"/>
      <c r="N203" s="16"/>
      <c r="O203" s="16"/>
      <c r="S203" s="18"/>
    </row>
    <row r="204" spans="1:19" ht="13.8">
      <c r="A204" s="9">
        <f ca="1">IFERROR(__xludf.DUMMYFUNCTION("""COMPUTED_VALUE"""),203)</f>
        <v>203</v>
      </c>
      <c r="C204" s="19"/>
      <c r="D204" s="20"/>
      <c r="E204" s="16"/>
      <c r="F204" s="16"/>
      <c r="G204" s="16"/>
      <c r="H204" s="16"/>
      <c r="I204" s="16"/>
      <c r="J204" s="16"/>
      <c r="K204" s="16"/>
      <c r="L204" s="16"/>
      <c r="M204" s="16"/>
      <c r="N204" s="16"/>
      <c r="O204" s="16"/>
      <c r="S204" s="18"/>
    </row>
    <row r="205" spans="1:19" ht="13.8">
      <c r="A205" s="9">
        <f ca="1">IFERROR(__xludf.DUMMYFUNCTION("""COMPUTED_VALUE"""),204)</f>
        <v>204</v>
      </c>
      <c r="C205" s="19"/>
      <c r="D205" s="20"/>
      <c r="E205" s="16"/>
      <c r="F205" s="16"/>
      <c r="G205" s="16"/>
      <c r="H205" s="16"/>
      <c r="I205" s="16"/>
      <c r="J205" s="16"/>
      <c r="K205" s="16"/>
      <c r="L205" s="16"/>
      <c r="M205" s="16"/>
      <c r="N205" s="16"/>
      <c r="O205" s="16"/>
      <c r="S205" s="18"/>
    </row>
    <row r="206" spans="1:19" ht="13.8">
      <c r="A206" s="9">
        <f ca="1">IFERROR(__xludf.DUMMYFUNCTION("""COMPUTED_VALUE"""),205)</f>
        <v>205</v>
      </c>
      <c r="C206" s="19"/>
      <c r="D206" s="20"/>
      <c r="E206" s="16"/>
      <c r="F206" s="16"/>
      <c r="G206" s="16"/>
      <c r="H206" s="16"/>
      <c r="I206" s="16"/>
      <c r="J206" s="16"/>
      <c r="K206" s="16"/>
      <c r="L206" s="16"/>
      <c r="M206" s="16"/>
      <c r="N206" s="16"/>
      <c r="O206" s="16"/>
      <c r="S206" s="18"/>
    </row>
    <row r="207" spans="1:19" ht="13.8">
      <c r="A207" s="9">
        <f ca="1">IFERROR(__xludf.DUMMYFUNCTION("""COMPUTED_VALUE"""),206)</f>
        <v>206</v>
      </c>
      <c r="C207" s="19"/>
      <c r="D207" s="20"/>
      <c r="E207" s="16"/>
      <c r="F207" s="16"/>
      <c r="G207" s="16"/>
      <c r="H207" s="16"/>
      <c r="I207" s="16"/>
      <c r="J207" s="16"/>
      <c r="K207" s="16"/>
      <c r="L207" s="16"/>
      <c r="M207" s="16"/>
      <c r="N207" s="16"/>
      <c r="O207" s="16"/>
      <c r="S207" s="18"/>
    </row>
    <row r="208" spans="1:19" ht="13.8">
      <c r="A208" s="9">
        <f ca="1">IFERROR(__xludf.DUMMYFUNCTION("""COMPUTED_VALUE"""),207)</f>
        <v>207</v>
      </c>
      <c r="C208" s="19"/>
      <c r="D208" s="20"/>
      <c r="E208" s="16"/>
      <c r="F208" s="16"/>
      <c r="G208" s="16"/>
      <c r="H208" s="16"/>
      <c r="I208" s="16"/>
      <c r="J208" s="16"/>
      <c r="K208" s="16"/>
      <c r="L208" s="16"/>
      <c r="M208" s="16"/>
      <c r="N208" s="16"/>
      <c r="O208" s="16"/>
      <c r="S208" s="18"/>
    </row>
    <row r="209" spans="1:1" ht="13.2">
      <c r="A209" s="9">
        <f ca="1">IFERROR(__xludf.DUMMYFUNCTION("""COMPUTED_VALUE"""),208)</f>
        <v>208</v>
      </c>
    </row>
    <row r="210" spans="1:1" ht="13.2">
      <c r="A210" s="9">
        <f ca="1">IFERROR(__xludf.DUMMYFUNCTION("""COMPUTED_VALUE"""),209)</f>
        <v>209</v>
      </c>
    </row>
    <row r="211" spans="1:1" ht="13.2">
      <c r="A211" s="9">
        <f ca="1">IFERROR(__xludf.DUMMYFUNCTION("""COMPUTED_VALUE"""),210)</f>
        <v>210</v>
      </c>
    </row>
    <row r="212" spans="1:1" ht="13.2">
      <c r="A212" s="9">
        <f ca="1">IFERROR(__xludf.DUMMYFUNCTION("""COMPUTED_VALUE"""),211)</f>
        <v>211</v>
      </c>
    </row>
    <row r="213" spans="1:1" ht="13.2">
      <c r="A213" s="9">
        <f ca="1">IFERROR(__xludf.DUMMYFUNCTION("""COMPUTED_VALUE"""),212)</f>
        <v>212</v>
      </c>
    </row>
    <row r="214" spans="1:1" ht="13.2">
      <c r="A214" s="9">
        <f ca="1">IFERROR(__xludf.DUMMYFUNCTION("""COMPUTED_VALUE"""),213)</f>
        <v>213</v>
      </c>
    </row>
    <row r="215" spans="1:1" ht="13.2">
      <c r="A215" s="9">
        <f ca="1">IFERROR(__xludf.DUMMYFUNCTION("""COMPUTED_VALUE"""),214)</f>
        <v>214</v>
      </c>
    </row>
    <row r="216" spans="1:1" ht="13.2">
      <c r="A216" s="9"/>
    </row>
    <row r="217" spans="1:1" ht="13.2">
      <c r="A217" s="9">
        <f ca="1">IFERROR(__xludf.DUMMYFUNCTION("""COMPUTED_VALUE"""),216)</f>
        <v>216</v>
      </c>
    </row>
    <row r="218" spans="1:1" ht="13.2">
      <c r="A218" s="9">
        <f ca="1">IFERROR(__xludf.DUMMYFUNCTION("""COMPUTED_VALUE"""),217)</f>
        <v>217</v>
      </c>
    </row>
    <row r="219" spans="1:1" ht="13.2">
      <c r="A219" s="9">
        <f ca="1">IFERROR(__xludf.DUMMYFUNCTION("""COMPUTED_VALUE"""),218)</f>
        <v>218</v>
      </c>
    </row>
    <row r="220" spans="1:1" ht="13.2">
      <c r="A220" s="9">
        <f ca="1">IFERROR(__xludf.DUMMYFUNCTION("""COMPUTED_VALUE"""),219)</f>
        <v>219</v>
      </c>
    </row>
    <row r="221" spans="1:1" ht="13.2">
      <c r="A221" s="9">
        <f ca="1">IFERROR(__xludf.DUMMYFUNCTION("""COMPUTED_VALUE"""),220)</f>
        <v>220</v>
      </c>
    </row>
    <row r="222" spans="1:1" ht="13.2">
      <c r="A222" s="9">
        <f ca="1">IFERROR(__xludf.DUMMYFUNCTION("""COMPUTED_VALUE"""),221)</f>
        <v>221</v>
      </c>
    </row>
    <row r="223" spans="1:1" ht="13.2">
      <c r="A223" s="9">
        <f ca="1">IFERROR(__xludf.DUMMYFUNCTION("""COMPUTED_VALUE"""),222)</f>
        <v>222</v>
      </c>
    </row>
    <row r="224" spans="1:1" ht="13.2">
      <c r="A224" s="9">
        <f ca="1">IFERROR(__xludf.DUMMYFUNCTION("""COMPUTED_VALUE"""),223)</f>
        <v>223</v>
      </c>
    </row>
    <row r="225" spans="1:1" ht="13.2">
      <c r="A225" s="9">
        <f ca="1">IFERROR(__xludf.DUMMYFUNCTION("""COMPUTED_VALUE"""),224)</f>
        <v>224</v>
      </c>
    </row>
    <row r="226" spans="1:1" ht="13.2">
      <c r="A226" s="9">
        <f ca="1">IFERROR(__xludf.DUMMYFUNCTION("""COMPUTED_VALUE"""),225)</f>
        <v>225</v>
      </c>
    </row>
    <row r="227" spans="1:1" ht="13.2">
      <c r="A227" s="9">
        <f ca="1">IFERROR(__xludf.DUMMYFUNCTION("""COMPUTED_VALUE"""),226)</f>
        <v>226</v>
      </c>
    </row>
    <row r="228" spans="1:1" ht="13.2">
      <c r="A228" s="9">
        <f ca="1">IFERROR(__xludf.DUMMYFUNCTION("""COMPUTED_VALUE"""),227)</f>
        <v>227</v>
      </c>
    </row>
    <row r="229" spans="1:1" ht="13.2">
      <c r="A229" s="9">
        <f ca="1">IFERROR(__xludf.DUMMYFUNCTION("""COMPUTED_VALUE"""),228)</f>
        <v>228</v>
      </c>
    </row>
    <row r="230" spans="1:1" ht="13.2">
      <c r="A230" s="9">
        <f ca="1">IFERROR(__xludf.DUMMYFUNCTION("""COMPUTED_VALUE"""),229)</f>
        <v>229</v>
      </c>
    </row>
    <row r="231" spans="1:1" ht="13.2">
      <c r="A231" s="9">
        <f ca="1">IFERROR(__xludf.DUMMYFUNCTION("""COMPUTED_VALUE"""),230)</f>
        <v>230</v>
      </c>
    </row>
    <row r="232" spans="1:1" ht="13.2">
      <c r="A232" s="9">
        <f ca="1">IFERROR(__xludf.DUMMYFUNCTION("""COMPUTED_VALUE"""),231)</f>
        <v>231</v>
      </c>
    </row>
    <row r="233" spans="1:1" ht="13.2">
      <c r="A233" s="9">
        <f ca="1">IFERROR(__xludf.DUMMYFUNCTION("""COMPUTED_VALUE"""),232)</f>
        <v>232</v>
      </c>
    </row>
    <row r="234" spans="1:1" ht="13.2">
      <c r="A234" s="9">
        <f ca="1">IFERROR(__xludf.DUMMYFUNCTION("""COMPUTED_VALUE"""),233)</f>
        <v>233</v>
      </c>
    </row>
    <row r="235" spans="1:1" ht="13.2">
      <c r="A235" s="9">
        <f ca="1">IFERROR(__xludf.DUMMYFUNCTION("""COMPUTED_VALUE"""),234)</f>
        <v>234</v>
      </c>
    </row>
    <row r="236" spans="1:1" ht="13.2">
      <c r="A236" s="9">
        <f ca="1">IFERROR(__xludf.DUMMYFUNCTION("""COMPUTED_VALUE"""),235)</f>
        <v>235</v>
      </c>
    </row>
    <row r="237" spans="1:1" ht="13.2">
      <c r="A237" s="9">
        <f ca="1">IFERROR(__xludf.DUMMYFUNCTION("""COMPUTED_VALUE"""),236)</f>
        <v>236</v>
      </c>
    </row>
    <row r="238" spans="1:1" ht="13.2">
      <c r="A238" s="9">
        <f ca="1">IFERROR(__xludf.DUMMYFUNCTION("""COMPUTED_VALUE"""),237)</f>
        <v>237</v>
      </c>
    </row>
    <row r="239" spans="1:1" ht="13.2">
      <c r="A239" s="9">
        <f ca="1">IFERROR(__xludf.DUMMYFUNCTION("""COMPUTED_VALUE"""),238)</f>
        <v>238</v>
      </c>
    </row>
    <row r="240" spans="1:1" ht="13.2">
      <c r="A240" s="9">
        <f ca="1">IFERROR(__xludf.DUMMYFUNCTION("""COMPUTED_VALUE"""),239)</f>
        <v>239</v>
      </c>
    </row>
    <row r="241" spans="1:1" ht="13.2">
      <c r="A241" s="9">
        <f ca="1">IFERROR(__xludf.DUMMYFUNCTION("""COMPUTED_VALUE"""),240)</f>
        <v>240</v>
      </c>
    </row>
    <row r="242" spans="1:1" ht="13.2">
      <c r="A242" s="9">
        <f ca="1">IFERROR(__xludf.DUMMYFUNCTION("""COMPUTED_VALUE"""),241)</f>
        <v>241</v>
      </c>
    </row>
    <row r="243" spans="1:1" ht="13.2">
      <c r="A243" s="9">
        <f ca="1">IFERROR(__xludf.DUMMYFUNCTION("""COMPUTED_VALUE"""),242)</f>
        <v>242</v>
      </c>
    </row>
    <row r="244" spans="1:1" ht="13.2">
      <c r="A244" s="9">
        <f ca="1">IFERROR(__xludf.DUMMYFUNCTION("""COMPUTED_VALUE"""),243)</f>
        <v>243</v>
      </c>
    </row>
    <row r="245" spans="1:1" ht="13.2">
      <c r="A245" s="9">
        <f ca="1">IFERROR(__xludf.DUMMYFUNCTION("""COMPUTED_VALUE"""),244)</f>
        <v>244</v>
      </c>
    </row>
    <row r="246" spans="1:1" ht="13.2">
      <c r="A246" s="9">
        <f ca="1">IFERROR(__xludf.DUMMYFUNCTION("""COMPUTED_VALUE"""),245)</f>
        <v>245</v>
      </c>
    </row>
    <row r="247" spans="1:1" ht="13.2">
      <c r="A247" s="9">
        <f ca="1">IFERROR(__xludf.DUMMYFUNCTION("""COMPUTED_VALUE"""),246)</f>
        <v>246</v>
      </c>
    </row>
    <row r="248" spans="1:1" ht="13.2">
      <c r="A248" s="9">
        <f ca="1">IFERROR(__xludf.DUMMYFUNCTION("""COMPUTED_VALUE"""),247)</f>
        <v>247</v>
      </c>
    </row>
    <row r="249" spans="1:1" ht="13.2">
      <c r="A249" s="9">
        <f ca="1">IFERROR(__xludf.DUMMYFUNCTION("""COMPUTED_VALUE"""),248)</f>
        <v>248</v>
      </c>
    </row>
    <row r="250" spans="1:1" ht="13.2">
      <c r="A250" s="9">
        <f ca="1">IFERROR(__xludf.DUMMYFUNCTION("""COMPUTED_VALUE"""),249)</f>
        <v>249</v>
      </c>
    </row>
    <row r="251" spans="1:1" ht="13.2">
      <c r="A251" s="9">
        <f ca="1">IFERROR(__xludf.DUMMYFUNCTION("""COMPUTED_VALUE"""),250)</f>
        <v>250</v>
      </c>
    </row>
    <row r="252" spans="1:1" ht="13.2">
      <c r="A252" s="9">
        <f ca="1">IFERROR(__xludf.DUMMYFUNCTION("""COMPUTED_VALUE"""),251)</f>
        <v>251</v>
      </c>
    </row>
    <row r="253" spans="1:1" ht="13.2">
      <c r="A253" s="9">
        <f ca="1">IFERROR(__xludf.DUMMYFUNCTION("""COMPUTED_VALUE"""),252)</f>
        <v>252</v>
      </c>
    </row>
    <row r="254" spans="1:1" ht="13.2">
      <c r="A254" s="9">
        <f ca="1">IFERROR(__xludf.DUMMYFUNCTION("""COMPUTED_VALUE"""),253)</f>
        <v>253</v>
      </c>
    </row>
    <row r="255" spans="1:1" ht="13.2">
      <c r="A255" s="9">
        <f ca="1">IFERROR(__xludf.DUMMYFUNCTION("""COMPUTED_VALUE"""),254)</f>
        <v>254</v>
      </c>
    </row>
    <row r="256" spans="1:1" ht="13.2">
      <c r="A256" s="9">
        <f ca="1">IFERROR(__xludf.DUMMYFUNCTION("""COMPUTED_VALUE"""),255)</f>
        <v>255</v>
      </c>
    </row>
    <row r="257" spans="1:1" ht="13.2">
      <c r="A257" s="9">
        <f ca="1">IFERROR(__xludf.DUMMYFUNCTION("""COMPUTED_VALUE"""),256)</f>
        <v>256</v>
      </c>
    </row>
    <row r="258" spans="1:1" ht="13.2">
      <c r="A258" s="9">
        <f ca="1">IFERROR(__xludf.DUMMYFUNCTION("""COMPUTED_VALUE"""),257)</f>
        <v>257</v>
      </c>
    </row>
    <row r="259" spans="1:1" ht="13.2">
      <c r="A259" s="9">
        <f ca="1">IFERROR(__xludf.DUMMYFUNCTION("""COMPUTED_VALUE"""),258)</f>
        <v>258</v>
      </c>
    </row>
    <row r="260" spans="1:1" ht="13.2">
      <c r="A260" s="9">
        <f ca="1">IFERROR(__xludf.DUMMYFUNCTION("""COMPUTED_VALUE"""),259)</f>
        <v>259</v>
      </c>
    </row>
    <row r="261" spans="1:1" ht="13.2">
      <c r="A261" s="9">
        <f ca="1">IFERROR(__xludf.DUMMYFUNCTION("""COMPUTED_VALUE"""),260)</f>
        <v>260</v>
      </c>
    </row>
    <row r="262" spans="1:1" ht="13.2">
      <c r="A262" s="9">
        <f ca="1">IFERROR(__xludf.DUMMYFUNCTION("""COMPUTED_VALUE"""),261)</f>
        <v>261</v>
      </c>
    </row>
    <row r="263" spans="1:1" ht="13.2">
      <c r="A263" s="9">
        <f ca="1">IFERROR(__xludf.DUMMYFUNCTION("""COMPUTED_VALUE"""),262)</f>
        <v>262</v>
      </c>
    </row>
    <row r="264" spans="1:1" ht="13.2">
      <c r="A264" s="9"/>
    </row>
    <row r="265" spans="1:1" ht="13.2">
      <c r="A265" s="9">
        <f ca="1">IFERROR(__xludf.DUMMYFUNCTION("""COMPUTED_VALUE"""),264)</f>
        <v>264</v>
      </c>
    </row>
    <row r="266" spans="1:1" ht="13.2">
      <c r="A266" s="9">
        <f ca="1">IFERROR(__xludf.DUMMYFUNCTION("""COMPUTED_VALUE"""),265)</f>
        <v>265</v>
      </c>
    </row>
    <row r="267" spans="1:1" ht="13.2">
      <c r="A267" s="9">
        <f ca="1">IFERROR(__xludf.DUMMYFUNCTION("""COMPUTED_VALUE"""),266)</f>
        <v>266</v>
      </c>
    </row>
    <row r="268" spans="1:1" ht="13.2">
      <c r="A268" s="9">
        <f ca="1">IFERROR(__xludf.DUMMYFUNCTION("""COMPUTED_VALUE"""),267)</f>
        <v>267</v>
      </c>
    </row>
    <row r="269" spans="1:1" ht="13.2">
      <c r="A269" s="9">
        <f ca="1">IFERROR(__xludf.DUMMYFUNCTION("""COMPUTED_VALUE"""),268)</f>
        <v>268</v>
      </c>
    </row>
    <row r="270" spans="1:1" ht="13.2">
      <c r="A270" s="9">
        <f ca="1">IFERROR(__xludf.DUMMYFUNCTION("""COMPUTED_VALUE"""),269)</f>
        <v>269</v>
      </c>
    </row>
    <row r="271" spans="1:1" ht="13.2">
      <c r="A271" s="9">
        <f ca="1">IFERROR(__xludf.DUMMYFUNCTION("""COMPUTED_VALUE"""),270)</f>
        <v>270</v>
      </c>
    </row>
    <row r="272" spans="1:1" ht="13.2">
      <c r="A272" s="9">
        <f ca="1">IFERROR(__xludf.DUMMYFUNCTION("""COMPUTED_VALUE"""),271)</f>
        <v>271</v>
      </c>
    </row>
    <row r="273" spans="1:1" ht="13.2">
      <c r="A273" s="9">
        <f ca="1">IFERROR(__xludf.DUMMYFUNCTION("""COMPUTED_VALUE"""),272)</f>
        <v>272</v>
      </c>
    </row>
    <row r="274" spans="1:1" ht="13.2">
      <c r="A274" s="9">
        <f ca="1">IFERROR(__xludf.DUMMYFUNCTION("""COMPUTED_VALUE"""),273)</f>
        <v>273</v>
      </c>
    </row>
    <row r="275" spans="1:1" ht="13.2">
      <c r="A275" s="9">
        <f ca="1">IFERROR(__xludf.DUMMYFUNCTION("""COMPUTED_VALUE"""),274)</f>
        <v>274</v>
      </c>
    </row>
    <row r="276" spans="1:1" ht="13.2">
      <c r="A276" s="9"/>
    </row>
    <row r="277" spans="1:1" ht="13.2">
      <c r="A277" s="9">
        <f ca="1">IFERROR(__xludf.DUMMYFUNCTION("""COMPUTED_VALUE"""),276)</f>
        <v>276</v>
      </c>
    </row>
    <row r="278" spans="1:1" ht="13.2">
      <c r="A278" s="9">
        <f ca="1">IFERROR(__xludf.DUMMYFUNCTION("""COMPUTED_VALUE"""),277)</f>
        <v>277</v>
      </c>
    </row>
    <row r="279" spans="1:1" ht="13.2">
      <c r="A279" s="9">
        <f ca="1">IFERROR(__xludf.DUMMYFUNCTION("""COMPUTED_VALUE"""),278)</f>
        <v>278</v>
      </c>
    </row>
    <row r="280" spans="1:1" ht="13.2">
      <c r="A280" s="9">
        <f ca="1">IFERROR(__xludf.DUMMYFUNCTION("""COMPUTED_VALUE"""),279)</f>
        <v>279</v>
      </c>
    </row>
    <row r="281" spans="1:1" ht="13.2">
      <c r="A281" s="9">
        <f ca="1">IFERROR(__xludf.DUMMYFUNCTION("""COMPUTED_VALUE"""),280)</f>
        <v>280</v>
      </c>
    </row>
    <row r="282" spans="1:1" ht="13.2">
      <c r="A282" s="9">
        <f ca="1">IFERROR(__xludf.DUMMYFUNCTION("""COMPUTED_VALUE"""),281)</f>
        <v>281</v>
      </c>
    </row>
    <row r="283" spans="1:1" ht="13.2">
      <c r="A283" s="9">
        <f ca="1">IFERROR(__xludf.DUMMYFUNCTION("""COMPUTED_VALUE"""),282)</f>
        <v>282</v>
      </c>
    </row>
    <row r="284" spans="1:1" ht="13.2">
      <c r="A284" s="9"/>
    </row>
    <row r="285" spans="1:1" ht="13.2">
      <c r="A285" s="9">
        <f ca="1">IFERROR(__xludf.DUMMYFUNCTION("""COMPUTED_VALUE"""),284)</f>
        <v>284</v>
      </c>
    </row>
    <row r="300" spans="1:1" ht="13.2">
      <c r="A300" s="9">
        <f ca="1">IFERROR(__xludf.DUMMYFUNCTION("""COMPUTED_VALUE"""),299)</f>
        <v>299</v>
      </c>
    </row>
    <row r="301" spans="1:1" ht="13.2">
      <c r="A301" s="9">
        <f ca="1">IFERROR(__xludf.DUMMYFUNCTION("""COMPUTED_VALUE"""),300)</f>
        <v>300</v>
      </c>
    </row>
    <row r="311" spans="1:1" ht="13.2">
      <c r="A311" s="9">
        <f ca="1">IFERROR(__xludf.DUMMYFUNCTION("""COMPUTED_VALUE"""),310)</f>
        <v>310</v>
      </c>
    </row>
    <row r="312" spans="1:1" ht="13.2">
      <c r="A312" s="9">
        <f ca="1">IFERROR(__xludf.DUMMYFUNCTION("""COMPUTED_VALUE"""),311)</f>
        <v>311</v>
      </c>
    </row>
    <row r="313" spans="1:1" ht="13.2">
      <c r="A313" s="9">
        <f ca="1">IFERROR(__xludf.DUMMYFUNCTION("""COMPUTED_VALUE"""),312)</f>
        <v>312</v>
      </c>
    </row>
    <row r="314" spans="1:1" ht="13.2">
      <c r="A314" s="9">
        <f ca="1">IFERROR(__xludf.DUMMYFUNCTION("""COMPUTED_VALUE"""),313)</f>
        <v>313</v>
      </c>
    </row>
    <row r="315" spans="1:1" ht="13.2">
      <c r="A315" s="9">
        <f ca="1">IFERROR(__xludf.DUMMYFUNCTION("""COMPUTED_VALUE"""),314)</f>
        <v>314</v>
      </c>
    </row>
    <row r="316" spans="1:1" ht="13.2">
      <c r="A316" s="9">
        <f ca="1">IFERROR(__xludf.DUMMYFUNCTION("""COMPUTED_VALUE"""),315)</f>
        <v>315</v>
      </c>
    </row>
    <row r="317" spans="1:1" ht="13.2">
      <c r="A317" s="9">
        <f ca="1">IFERROR(__xludf.DUMMYFUNCTION("""COMPUTED_VALUE"""),316)</f>
        <v>316</v>
      </c>
    </row>
    <row r="318" spans="1:1" ht="13.2">
      <c r="A318" s="9">
        <f ca="1">IFERROR(__xludf.DUMMYFUNCTION("""COMPUTED_VALUE"""),317)</f>
        <v>317</v>
      </c>
    </row>
    <row r="319" spans="1:1" ht="13.2">
      <c r="A319" s="9">
        <f ca="1">IFERROR(__xludf.DUMMYFUNCTION("""COMPUTED_VALUE"""),318)</f>
        <v>318</v>
      </c>
    </row>
    <row r="320" spans="1:1" ht="13.2">
      <c r="A320" s="9">
        <f ca="1">IFERROR(__xludf.DUMMYFUNCTION("""COMPUTED_VALUE"""),319)</f>
        <v>319</v>
      </c>
    </row>
    <row r="321" spans="1:1" ht="13.2">
      <c r="A321" s="9">
        <f ca="1">IFERROR(__xludf.DUMMYFUNCTION("""COMPUTED_VALUE"""),320)</f>
        <v>320</v>
      </c>
    </row>
    <row r="322" spans="1:1" ht="13.2">
      <c r="A322" s="9">
        <f ca="1">IFERROR(__xludf.DUMMYFUNCTION("""COMPUTED_VALUE"""),321)</f>
        <v>321</v>
      </c>
    </row>
    <row r="323" spans="1:1" ht="13.2">
      <c r="A323" s="9">
        <f ca="1">IFERROR(__xludf.DUMMYFUNCTION("""COMPUTED_VALUE"""),322)</f>
        <v>322</v>
      </c>
    </row>
    <row r="324" spans="1:1" ht="13.2">
      <c r="A324" s="9">
        <f ca="1">IFERROR(__xludf.DUMMYFUNCTION("""COMPUTED_VALUE"""),323)</f>
        <v>323</v>
      </c>
    </row>
    <row r="325" spans="1:1" ht="13.2">
      <c r="A325" s="9">
        <f ca="1">IFERROR(__xludf.DUMMYFUNCTION("""COMPUTED_VALUE"""),324)</f>
        <v>324</v>
      </c>
    </row>
    <row r="326" spans="1:1" ht="13.2">
      <c r="A326" s="9">
        <f ca="1">IFERROR(__xludf.DUMMYFUNCTION("""COMPUTED_VALUE"""),325)</f>
        <v>325</v>
      </c>
    </row>
    <row r="327" spans="1:1" ht="13.2">
      <c r="A327" s="9">
        <f ca="1">IFERROR(__xludf.DUMMYFUNCTION("""COMPUTED_VALUE"""),326)</f>
        <v>326</v>
      </c>
    </row>
    <row r="328" spans="1:1" ht="13.2">
      <c r="A328" s="9">
        <f ca="1">IFERROR(__xludf.DUMMYFUNCTION("""COMPUTED_VALUE"""),327)</f>
        <v>327</v>
      </c>
    </row>
    <row r="329" spans="1:1" ht="13.2">
      <c r="A329" s="9">
        <f ca="1">IFERROR(__xludf.DUMMYFUNCTION("""COMPUTED_VALUE"""),328)</f>
        <v>328</v>
      </c>
    </row>
    <row r="330" spans="1:1" ht="13.2">
      <c r="A330" s="9">
        <f ca="1">IFERROR(__xludf.DUMMYFUNCTION("""COMPUTED_VALUE"""),329)</f>
        <v>329</v>
      </c>
    </row>
    <row r="331" spans="1:1" ht="13.2">
      <c r="A331" s="9"/>
    </row>
    <row r="332" spans="1:1" ht="13.2">
      <c r="A332" s="9">
        <f ca="1">IFERROR(__xludf.DUMMYFUNCTION("""COMPUTED_VALUE"""),331)</f>
        <v>331</v>
      </c>
    </row>
    <row r="333" spans="1:1" ht="13.2">
      <c r="A333" s="9">
        <f ca="1">IFERROR(__xludf.DUMMYFUNCTION("""COMPUTED_VALUE"""),332)</f>
        <v>332</v>
      </c>
    </row>
    <row r="334" spans="1:1" ht="13.2">
      <c r="A334" s="9">
        <f ca="1">IFERROR(__xludf.DUMMYFUNCTION("""COMPUTED_VALUE"""),333)</f>
        <v>333</v>
      </c>
    </row>
    <row r="335" spans="1:1" ht="13.2">
      <c r="A335" s="9"/>
    </row>
    <row r="336" spans="1:1" ht="13.2">
      <c r="A336" s="9">
        <f ca="1">IFERROR(__xludf.DUMMYFUNCTION("""COMPUTED_VALUE"""),335)</f>
        <v>335</v>
      </c>
    </row>
    <row r="338" spans="1:1" ht="13.2">
      <c r="A338" s="9">
        <f ca="1">IFERROR(__xludf.DUMMYFUNCTION("""COMPUTED_VALUE"""),337)</f>
        <v>337</v>
      </c>
    </row>
    <row r="339" spans="1:1" ht="13.2">
      <c r="A339" s="9">
        <f ca="1">IFERROR(__xludf.DUMMYFUNCTION("""COMPUTED_VALUE"""),338)</f>
        <v>338</v>
      </c>
    </row>
    <row r="340" spans="1:1" ht="13.2">
      <c r="A340" s="9">
        <f ca="1">IFERROR(__xludf.DUMMYFUNCTION("""COMPUTED_VALUE"""),339)</f>
        <v>339</v>
      </c>
    </row>
    <row r="341" spans="1:1" ht="13.2">
      <c r="A341" s="9">
        <f ca="1">IFERROR(__xludf.DUMMYFUNCTION("""COMPUTED_VALUE"""),340)</f>
        <v>340</v>
      </c>
    </row>
    <row r="342" spans="1:1" ht="13.2">
      <c r="A342" s="9"/>
    </row>
    <row r="343" spans="1:1" ht="13.2">
      <c r="A343" s="9">
        <f ca="1">IFERROR(__xludf.DUMMYFUNCTION("""COMPUTED_VALUE"""),342)</f>
        <v>342</v>
      </c>
    </row>
    <row r="344" spans="1:1" ht="13.2">
      <c r="A344" s="9">
        <f ca="1">IFERROR(__xludf.DUMMYFUNCTION("""COMPUTED_VALUE"""),343)</f>
        <v>343</v>
      </c>
    </row>
    <row r="345" spans="1:1" ht="13.2">
      <c r="A345" s="9">
        <f ca="1">IFERROR(__xludf.DUMMYFUNCTION("""COMPUTED_VALUE"""),344)</f>
        <v>344</v>
      </c>
    </row>
    <row r="346" spans="1:1" ht="13.2">
      <c r="A346" s="9">
        <f ca="1">IFERROR(__xludf.DUMMYFUNCTION("""COMPUTED_VALUE"""),345)</f>
        <v>345</v>
      </c>
    </row>
    <row r="347" spans="1:1" ht="13.2">
      <c r="A347" s="9">
        <f ca="1">IFERROR(__xludf.DUMMYFUNCTION("""COMPUTED_VALUE"""),346)</f>
        <v>346</v>
      </c>
    </row>
    <row r="348" spans="1:1" ht="13.2">
      <c r="A348" s="9">
        <f ca="1">IFERROR(__xludf.DUMMYFUNCTION("""COMPUTED_VALUE"""),347)</f>
        <v>347</v>
      </c>
    </row>
    <row r="349" spans="1:1" ht="13.2">
      <c r="A349" s="9">
        <f ca="1">IFERROR(__xludf.DUMMYFUNCTION("""COMPUTED_VALUE"""),348)</f>
        <v>348</v>
      </c>
    </row>
    <row r="350" spans="1:1" ht="13.2">
      <c r="A350" s="9">
        <f ca="1">IFERROR(__xludf.DUMMYFUNCTION("""COMPUTED_VALUE"""),349)</f>
        <v>349</v>
      </c>
    </row>
    <row r="353" spans="1:1" ht="13.2">
      <c r="A353" s="9">
        <f ca="1">IFERROR(__xludf.DUMMYFUNCTION("""COMPUTED_VALUE"""),352)</f>
        <v>352</v>
      </c>
    </row>
    <row r="354" spans="1:1" ht="13.2">
      <c r="A354" s="9"/>
    </row>
    <row r="355" spans="1:1" ht="13.2">
      <c r="A355" s="9">
        <f ca="1">IFERROR(__xludf.DUMMYFUNCTION("""COMPUTED_VALUE"""),354)</f>
        <v>354</v>
      </c>
    </row>
    <row r="356" spans="1:1" ht="13.2">
      <c r="A356" s="9">
        <f ca="1">IFERROR(__xludf.DUMMYFUNCTION("""COMPUTED_VALUE"""),355)</f>
        <v>355</v>
      </c>
    </row>
    <row r="357" spans="1:1" ht="13.2">
      <c r="A357" s="9">
        <f ca="1">IFERROR(__xludf.DUMMYFUNCTION("""COMPUTED_VALUE"""),356)</f>
        <v>356</v>
      </c>
    </row>
    <row r="358" spans="1:1" ht="13.2">
      <c r="A358" s="9">
        <f ca="1">IFERROR(__xludf.DUMMYFUNCTION("""COMPUTED_VALUE"""),357)</f>
        <v>357</v>
      </c>
    </row>
    <row r="359" spans="1:1" ht="13.2">
      <c r="A359" s="9"/>
    </row>
    <row r="360" spans="1:1" ht="13.2">
      <c r="A360" s="9">
        <f ca="1">IFERROR(__xludf.DUMMYFUNCTION("""COMPUTED_VALUE"""),359)</f>
        <v>359</v>
      </c>
    </row>
    <row r="361" spans="1:1" ht="13.2">
      <c r="A361" s="9">
        <f ca="1">IFERROR(__xludf.DUMMYFUNCTION("""COMPUTED_VALUE"""),360)</f>
        <v>360</v>
      </c>
    </row>
    <row r="362" spans="1:1" ht="13.2">
      <c r="A362" s="9">
        <f ca="1">IFERROR(__xludf.DUMMYFUNCTION("""COMPUTED_VALUE"""),361)</f>
        <v>361</v>
      </c>
    </row>
    <row r="363" spans="1:1" ht="13.2">
      <c r="A363" s="9"/>
    </row>
    <row r="364" spans="1:1" ht="13.2">
      <c r="A364" s="9">
        <f ca="1">IFERROR(__xludf.DUMMYFUNCTION("""COMPUTED_VALUE"""),363)</f>
        <v>363</v>
      </c>
    </row>
    <row r="365" spans="1:1" ht="13.2">
      <c r="A365" s="9">
        <f ca="1">IFERROR(__xludf.DUMMYFUNCTION("""COMPUTED_VALUE"""),364)</f>
        <v>364</v>
      </c>
    </row>
    <row r="366" spans="1:1" ht="13.2">
      <c r="A366" s="9">
        <f ca="1">IFERROR(__xludf.DUMMYFUNCTION("""COMPUTED_VALUE"""),365)</f>
        <v>365</v>
      </c>
    </row>
    <row r="367" spans="1:1" ht="13.2">
      <c r="A367" s="9"/>
    </row>
    <row r="368" spans="1:1" ht="13.2">
      <c r="A368" s="9">
        <f ca="1">IFERROR(__xludf.DUMMYFUNCTION("""COMPUTED_VALUE"""),367)</f>
        <v>367</v>
      </c>
    </row>
    <row r="369" spans="1:1" ht="13.2">
      <c r="A369" s="9">
        <f ca="1">IFERROR(__xludf.DUMMYFUNCTION("""COMPUTED_VALUE"""),368)</f>
        <v>368</v>
      </c>
    </row>
    <row r="370" spans="1:1" ht="13.2">
      <c r="A370" s="9">
        <f ca="1">IFERROR(__xludf.DUMMYFUNCTION("""COMPUTED_VALUE"""),369)</f>
        <v>369</v>
      </c>
    </row>
    <row r="371" spans="1:1" ht="13.2">
      <c r="A371" s="9">
        <f ca="1">IFERROR(__xludf.DUMMYFUNCTION("""COMPUTED_VALUE"""),370)</f>
        <v>370</v>
      </c>
    </row>
    <row r="372" spans="1:1" ht="13.2">
      <c r="A372" s="9">
        <f ca="1">IFERROR(__xludf.DUMMYFUNCTION("""COMPUTED_VALUE"""),371)</f>
        <v>371</v>
      </c>
    </row>
    <row r="373" spans="1:1" ht="13.2">
      <c r="A373" s="9">
        <f ca="1">IFERROR(__xludf.DUMMYFUNCTION("""COMPUTED_VALUE"""),372)</f>
        <v>372</v>
      </c>
    </row>
    <row r="374" spans="1:1" ht="13.2">
      <c r="A374" s="9">
        <f ca="1">IFERROR(__xludf.DUMMYFUNCTION("""COMPUTED_VALUE"""),373)</f>
        <v>373</v>
      </c>
    </row>
    <row r="375" spans="1:1" ht="13.2">
      <c r="A375" s="9">
        <f ca="1">IFERROR(__xludf.DUMMYFUNCTION("""COMPUTED_VALUE"""),374)</f>
        <v>374</v>
      </c>
    </row>
    <row r="376" spans="1:1" ht="13.2">
      <c r="A376" s="9">
        <f ca="1">IFERROR(__xludf.DUMMYFUNCTION("""COMPUTED_VALUE"""),375)</f>
        <v>375</v>
      </c>
    </row>
    <row r="377" spans="1:1" ht="13.2">
      <c r="A377" s="9">
        <f ca="1">IFERROR(__xludf.DUMMYFUNCTION("""COMPUTED_VALUE"""),376)</f>
        <v>376</v>
      </c>
    </row>
    <row r="378" spans="1:1" ht="13.2">
      <c r="A378" s="9">
        <f ca="1">IFERROR(__xludf.DUMMYFUNCTION("""COMPUTED_VALUE"""),377)</f>
        <v>377</v>
      </c>
    </row>
    <row r="379" spans="1:1" ht="13.2">
      <c r="A379" s="9">
        <f ca="1">IFERROR(__xludf.DUMMYFUNCTION("""COMPUTED_VALUE"""),378)</f>
        <v>378</v>
      </c>
    </row>
    <row r="380" spans="1:1" ht="13.2">
      <c r="A380" s="9">
        <f ca="1">IFERROR(__xludf.DUMMYFUNCTION("""COMPUTED_VALUE"""),379)</f>
        <v>379</v>
      </c>
    </row>
    <row r="381" spans="1:1" ht="13.2">
      <c r="A381" s="9"/>
    </row>
    <row r="382" spans="1:1" ht="13.2">
      <c r="A382" s="9">
        <f ca="1">IFERROR(__xludf.DUMMYFUNCTION("""COMPUTED_VALUE"""),381)</f>
        <v>381</v>
      </c>
    </row>
    <row r="383" spans="1:1" ht="13.2">
      <c r="A383" s="9"/>
    </row>
    <row r="384" spans="1:1" ht="13.2">
      <c r="A384" s="9">
        <f ca="1">IFERROR(__xludf.DUMMYFUNCTION("""COMPUTED_VALUE"""),383)</f>
        <v>383</v>
      </c>
    </row>
    <row r="385" spans="1:1" ht="13.2">
      <c r="A385" s="9">
        <f ca="1">IFERROR(__xludf.DUMMYFUNCTION("""COMPUTED_VALUE"""),384)</f>
        <v>384</v>
      </c>
    </row>
    <row r="386" spans="1:1" ht="13.2">
      <c r="A386" s="9">
        <f ca="1">IFERROR(__xludf.DUMMYFUNCTION("""COMPUTED_VALUE"""),385)</f>
        <v>385</v>
      </c>
    </row>
    <row r="387" spans="1:1" ht="13.2">
      <c r="A387" s="9">
        <f ca="1">IFERROR(__xludf.DUMMYFUNCTION("""COMPUTED_VALUE"""),386)</f>
        <v>386</v>
      </c>
    </row>
    <row r="388" spans="1:1" ht="13.2">
      <c r="A388" s="9">
        <f ca="1">IFERROR(__xludf.DUMMYFUNCTION("""COMPUTED_VALUE"""),387)</f>
        <v>387</v>
      </c>
    </row>
    <row r="389" spans="1:1" ht="13.2">
      <c r="A389" s="9">
        <f ca="1">IFERROR(__xludf.DUMMYFUNCTION("""COMPUTED_VALUE"""),388)</f>
        <v>388</v>
      </c>
    </row>
    <row r="390" spans="1:1" ht="13.2">
      <c r="A390" s="9">
        <f ca="1">IFERROR(__xludf.DUMMYFUNCTION("""COMPUTED_VALUE"""),389)</f>
        <v>389</v>
      </c>
    </row>
    <row r="391" spans="1:1" ht="13.2">
      <c r="A391" s="9">
        <f ca="1">IFERROR(__xludf.DUMMYFUNCTION("""COMPUTED_VALUE"""),390)</f>
        <v>390</v>
      </c>
    </row>
    <row r="392" spans="1:1" ht="13.2">
      <c r="A392" s="9">
        <f ca="1">IFERROR(__xludf.DUMMYFUNCTION("""COMPUTED_VALUE"""),391)</f>
        <v>391</v>
      </c>
    </row>
    <row r="393" spans="1:1" ht="13.2">
      <c r="A393" s="9"/>
    </row>
    <row r="394" spans="1:1" ht="13.2">
      <c r="A394" s="9">
        <f ca="1">IFERROR(__xludf.DUMMYFUNCTION("""COMPUTED_VALUE"""),393)</f>
        <v>393</v>
      </c>
    </row>
    <row r="395" spans="1:1" ht="13.2">
      <c r="A395" s="9">
        <f ca="1">IFERROR(__xludf.DUMMYFUNCTION("""COMPUTED_VALUE"""),394)</f>
        <v>394</v>
      </c>
    </row>
    <row r="396" spans="1:1" ht="13.2">
      <c r="A396" s="9">
        <f ca="1">IFERROR(__xludf.DUMMYFUNCTION("""COMPUTED_VALUE"""),395)</f>
        <v>395</v>
      </c>
    </row>
    <row r="397" spans="1:1" ht="13.2">
      <c r="A397" s="9">
        <f ca="1">IFERROR(__xludf.DUMMYFUNCTION("""COMPUTED_VALUE"""),396)</f>
        <v>396</v>
      </c>
    </row>
    <row r="398" spans="1:1" ht="13.2">
      <c r="A398" s="9">
        <f ca="1">IFERROR(__xludf.DUMMYFUNCTION("""COMPUTED_VALUE"""),397)</f>
        <v>397</v>
      </c>
    </row>
    <row r="399" spans="1:1" ht="13.2">
      <c r="A399" s="9">
        <f ca="1">IFERROR(__xludf.DUMMYFUNCTION("""COMPUTED_VALUE"""),398)</f>
        <v>398</v>
      </c>
    </row>
    <row r="400" spans="1:1" ht="13.2">
      <c r="A400" s="9">
        <f ca="1">IFERROR(__xludf.DUMMYFUNCTION("""COMPUTED_VALUE"""),399)</f>
        <v>399</v>
      </c>
    </row>
    <row r="401" spans="1:1" ht="13.2">
      <c r="A401" s="9">
        <f ca="1">IFERROR(__xludf.DUMMYFUNCTION("""COMPUTED_VALUE"""),400)</f>
        <v>400</v>
      </c>
    </row>
    <row r="402" spans="1:1" ht="13.2">
      <c r="A402" s="9">
        <f ca="1">IFERROR(__xludf.DUMMYFUNCTION("""COMPUTED_VALUE"""),401)</f>
        <v>401</v>
      </c>
    </row>
    <row r="403" spans="1:1" ht="13.2">
      <c r="A403" s="9">
        <f ca="1">IFERROR(__xludf.DUMMYFUNCTION("""COMPUTED_VALUE"""),402)</f>
        <v>402</v>
      </c>
    </row>
    <row r="404" spans="1:1" ht="13.2">
      <c r="A404" s="9">
        <f ca="1">IFERROR(__xludf.DUMMYFUNCTION("""COMPUTED_VALUE"""),403)</f>
        <v>403</v>
      </c>
    </row>
    <row r="405" spans="1:1" ht="13.2">
      <c r="A405" s="9">
        <f ca="1">IFERROR(__xludf.DUMMYFUNCTION("""COMPUTED_VALUE"""),404)</f>
        <v>404</v>
      </c>
    </row>
    <row r="406" spans="1:1" ht="13.2">
      <c r="A406" s="9">
        <f ca="1">IFERROR(__xludf.DUMMYFUNCTION("""COMPUTED_VALUE"""),405)</f>
        <v>405</v>
      </c>
    </row>
    <row r="407" spans="1:1" ht="13.2">
      <c r="A407" s="9">
        <f ca="1">IFERROR(__xludf.DUMMYFUNCTION("""COMPUTED_VALUE"""),406)</f>
        <v>406</v>
      </c>
    </row>
    <row r="408" spans="1:1" ht="13.2">
      <c r="A408" s="9">
        <f ca="1">IFERROR(__xludf.DUMMYFUNCTION("""COMPUTED_VALUE"""),407)</f>
        <v>407</v>
      </c>
    </row>
    <row r="409" spans="1:1" ht="13.2">
      <c r="A409" s="9">
        <f ca="1">IFERROR(__xludf.DUMMYFUNCTION("""COMPUTED_VALUE"""),408)</f>
        <v>408</v>
      </c>
    </row>
    <row r="410" spans="1:1" ht="13.2">
      <c r="A410" s="9">
        <f ca="1">IFERROR(__xludf.DUMMYFUNCTION("""COMPUTED_VALUE"""),409)</f>
        <v>409</v>
      </c>
    </row>
    <row r="411" spans="1:1" ht="13.2">
      <c r="A411" s="9">
        <f ca="1">IFERROR(__xludf.DUMMYFUNCTION("""COMPUTED_VALUE"""),410)</f>
        <v>410</v>
      </c>
    </row>
    <row r="412" spans="1:1" ht="13.2">
      <c r="A412" s="9"/>
    </row>
    <row r="413" spans="1:1" ht="13.2">
      <c r="A413" s="9">
        <f ca="1">IFERROR(__xludf.DUMMYFUNCTION("""COMPUTED_VALUE"""),412)</f>
        <v>412</v>
      </c>
    </row>
    <row r="414" spans="1:1" ht="13.2">
      <c r="A414" s="9">
        <f ca="1">IFERROR(__xludf.DUMMYFUNCTION("""COMPUTED_VALUE"""),413)</f>
        <v>413</v>
      </c>
    </row>
    <row r="415" spans="1:1" ht="13.2">
      <c r="A415" s="9"/>
    </row>
    <row r="416" spans="1:1" ht="13.2">
      <c r="A416" s="9">
        <f ca="1">IFERROR(__xludf.DUMMYFUNCTION("""COMPUTED_VALUE"""),415)</f>
        <v>415</v>
      </c>
    </row>
    <row r="417" spans="1:1" ht="13.2">
      <c r="A417" s="9">
        <f ca="1">IFERROR(__xludf.DUMMYFUNCTION("""COMPUTED_VALUE"""),416)</f>
        <v>416</v>
      </c>
    </row>
    <row r="418" spans="1:1" ht="13.2">
      <c r="A418" s="9"/>
    </row>
    <row r="419" spans="1:1" ht="13.2">
      <c r="A419" s="9">
        <f ca="1">IFERROR(__xludf.DUMMYFUNCTION("""COMPUTED_VALUE"""),418)</f>
        <v>418</v>
      </c>
    </row>
    <row r="420" spans="1:1" ht="13.2">
      <c r="A420" s="9">
        <f ca="1">IFERROR(__xludf.DUMMYFUNCTION("""COMPUTED_VALUE"""),419)</f>
        <v>419</v>
      </c>
    </row>
    <row r="421" spans="1:1" ht="13.2">
      <c r="A421" s="9">
        <f ca="1">IFERROR(__xludf.DUMMYFUNCTION("""COMPUTED_VALUE"""),420)</f>
        <v>420</v>
      </c>
    </row>
    <row r="422" spans="1:1" ht="13.2">
      <c r="A422" s="9">
        <f ca="1">IFERROR(__xludf.DUMMYFUNCTION("""COMPUTED_VALUE"""),421)</f>
        <v>421</v>
      </c>
    </row>
    <row r="423" spans="1:1" ht="13.2">
      <c r="A423" s="9"/>
    </row>
    <row r="424" spans="1:1" ht="13.2">
      <c r="A424" s="9"/>
    </row>
    <row r="425" spans="1:1" ht="13.2">
      <c r="A425" s="9">
        <f ca="1">IFERROR(__xludf.DUMMYFUNCTION("""COMPUTED_VALUE"""),424)</f>
        <v>424</v>
      </c>
    </row>
    <row r="426" spans="1:1" ht="13.2">
      <c r="A426" s="9">
        <f ca="1">IFERROR(__xludf.DUMMYFUNCTION("""COMPUTED_VALUE"""),425)</f>
        <v>425</v>
      </c>
    </row>
    <row r="427" spans="1:1" ht="13.2">
      <c r="A427" s="9">
        <f ca="1">IFERROR(__xludf.DUMMYFUNCTION("""COMPUTED_VALUE"""),426)</f>
        <v>426</v>
      </c>
    </row>
    <row r="428" spans="1:1" ht="13.2">
      <c r="A428" s="9">
        <f ca="1">IFERROR(__xludf.DUMMYFUNCTION("""COMPUTED_VALUE"""),427)</f>
        <v>427</v>
      </c>
    </row>
    <row r="429" spans="1:1" ht="13.2">
      <c r="A429" s="9">
        <f ca="1">IFERROR(__xludf.DUMMYFUNCTION("""COMPUTED_VALUE"""),428)</f>
        <v>428</v>
      </c>
    </row>
    <row r="430" spans="1:1" ht="13.2">
      <c r="A430" s="9"/>
    </row>
    <row r="431" spans="1:1" ht="13.2">
      <c r="A431" s="9"/>
    </row>
    <row r="432" spans="1:1" ht="13.2">
      <c r="A432" s="9">
        <f ca="1">IFERROR(__xludf.DUMMYFUNCTION("""COMPUTED_VALUE"""),431)</f>
        <v>431</v>
      </c>
    </row>
    <row r="434" spans="1:1" ht="13.2">
      <c r="A434" s="9">
        <f ca="1">IFERROR(__xludf.DUMMYFUNCTION("""COMPUTED_VALUE"""),433)</f>
        <v>433</v>
      </c>
    </row>
    <row r="435" spans="1:1" ht="13.2">
      <c r="A435" s="9"/>
    </row>
    <row r="436" spans="1:1" ht="13.2">
      <c r="A436" s="9">
        <f ca="1">IFERROR(__xludf.DUMMYFUNCTION("""COMPUTED_VALUE"""),435)</f>
        <v>435</v>
      </c>
    </row>
    <row r="437" spans="1:1" ht="13.2">
      <c r="A437" s="9"/>
    </row>
    <row r="438" spans="1:1" ht="13.2">
      <c r="A438" s="9">
        <f ca="1">IFERROR(__xludf.DUMMYFUNCTION("""COMPUTED_VALUE"""),437)</f>
        <v>437</v>
      </c>
    </row>
    <row r="439" spans="1:1" ht="13.2">
      <c r="A439" s="9">
        <f ca="1">IFERROR(__xludf.DUMMYFUNCTION("""COMPUTED_VALUE"""),438)</f>
        <v>438</v>
      </c>
    </row>
    <row r="440" spans="1:1" ht="13.2">
      <c r="A440" s="9"/>
    </row>
    <row r="441" spans="1:1" ht="13.2">
      <c r="A441" s="9">
        <f ca="1">IFERROR(__xludf.DUMMYFUNCTION("""COMPUTED_VALUE"""),440)</f>
        <v>440</v>
      </c>
    </row>
    <row r="442" spans="1:1" ht="13.2">
      <c r="A442" s="9">
        <f ca="1">IFERROR(__xludf.DUMMYFUNCTION("""COMPUTED_VALUE"""),441)</f>
        <v>441</v>
      </c>
    </row>
    <row r="443" spans="1:1" ht="13.2">
      <c r="A443" s="9"/>
    </row>
    <row r="444" spans="1:1" ht="13.2">
      <c r="A444" s="9">
        <f ca="1">IFERROR(__xludf.DUMMYFUNCTION("""COMPUTED_VALUE"""),443)</f>
        <v>443</v>
      </c>
    </row>
    <row r="445" spans="1:1" ht="13.2">
      <c r="A445" s="9"/>
    </row>
    <row r="446" spans="1:1" ht="13.2">
      <c r="A446" s="9">
        <f ca="1">IFERROR(__xludf.DUMMYFUNCTION("""COMPUTED_VALUE"""),445)</f>
        <v>445</v>
      </c>
    </row>
    <row r="447" spans="1:1" ht="13.2">
      <c r="A447" s="9">
        <f ca="1">IFERROR(__xludf.DUMMYFUNCTION("""COMPUTED_VALUE"""),446)</f>
        <v>446</v>
      </c>
    </row>
    <row r="449" spans="1:1" ht="13.2">
      <c r="A449" s="9">
        <f ca="1">IFERROR(__xludf.DUMMYFUNCTION("""COMPUTED_VALUE"""),448)</f>
        <v>448</v>
      </c>
    </row>
    <row r="450" spans="1:1" ht="13.2">
      <c r="A450" s="9">
        <f ca="1">IFERROR(__xludf.DUMMYFUNCTION("""COMPUTED_VALUE"""),449)</f>
        <v>449</v>
      </c>
    </row>
    <row r="451" spans="1:1" ht="13.2">
      <c r="A451" s="9">
        <f ca="1">IFERROR(__xludf.DUMMYFUNCTION("""COMPUTED_VALUE"""),450)</f>
        <v>450</v>
      </c>
    </row>
    <row r="452" spans="1:1" ht="13.2">
      <c r="A452" s="9"/>
    </row>
    <row r="453" spans="1:1" ht="13.2">
      <c r="A453" s="9">
        <f ca="1">IFERROR(__xludf.DUMMYFUNCTION("""COMPUTED_VALUE"""),452)</f>
        <v>452</v>
      </c>
    </row>
    <row r="454" spans="1:1" ht="13.2">
      <c r="A454" s="9">
        <f ca="1">IFERROR(__xludf.DUMMYFUNCTION("""COMPUTED_VALUE"""),453)</f>
        <v>453</v>
      </c>
    </row>
    <row r="455" spans="1:1" ht="13.2">
      <c r="A455" s="9">
        <f ca="1">IFERROR(__xludf.DUMMYFUNCTION("""COMPUTED_VALUE"""),454)</f>
        <v>454</v>
      </c>
    </row>
    <row r="456" spans="1:1" ht="13.2">
      <c r="A456" s="9">
        <f ca="1">IFERROR(__xludf.DUMMYFUNCTION("""COMPUTED_VALUE"""),455)</f>
        <v>455</v>
      </c>
    </row>
    <row r="457" spans="1:1" ht="13.2">
      <c r="A457" s="9"/>
    </row>
    <row r="458" spans="1:1" ht="13.2">
      <c r="A458" s="9">
        <f ca="1">IFERROR(__xludf.DUMMYFUNCTION("""COMPUTED_VALUE"""),457)</f>
        <v>457</v>
      </c>
    </row>
    <row r="459" spans="1:1" ht="13.2">
      <c r="A459" s="9">
        <f ca="1">IFERROR(__xludf.DUMMYFUNCTION("""COMPUTED_VALUE"""),458)</f>
        <v>458</v>
      </c>
    </row>
    <row r="460" spans="1:1" ht="13.2">
      <c r="A460" s="9">
        <f ca="1">IFERROR(__xludf.DUMMYFUNCTION("""COMPUTED_VALUE"""),459)</f>
        <v>459</v>
      </c>
    </row>
    <row r="461" spans="1:1" ht="13.2">
      <c r="A461" s="9">
        <f ca="1">IFERROR(__xludf.DUMMYFUNCTION("""COMPUTED_VALUE"""),460)</f>
        <v>460</v>
      </c>
    </row>
    <row r="462" spans="1:1" ht="13.2">
      <c r="A462" s="9">
        <f ca="1">IFERROR(__xludf.DUMMYFUNCTION("""COMPUTED_VALUE"""),461)</f>
        <v>461</v>
      </c>
    </row>
    <row r="463" spans="1:1" ht="13.2">
      <c r="A463" s="9">
        <f ca="1">IFERROR(__xludf.DUMMYFUNCTION("""COMPUTED_VALUE"""),462)</f>
        <v>462</v>
      </c>
    </row>
    <row r="464" spans="1:1" ht="13.2">
      <c r="A464" s="9">
        <f ca="1">IFERROR(__xludf.DUMMYFUNCTION("""COMPUTED_VALUE"""),463)</f>
        <v>463</v>
      </c>
    </row>
    <row r="465" spans="1:1" ht="13.2">
      <c r="A465" s="9">
        <f ca="1">IFERROR(__xludf.DUMMYFUNCTION("""COMPUTED_VALUE"""),464)</f>
        <v>464</v>
      </c>
    </row>
    <row r="466" spans="1:1" ht="13.2">
      <c r="A466" s="9"/>
    </row>
    <row r="467" spans="1:1" ht="13.2">
      <c r="A467" s="9">
        <f ca="1">IFERROR(__xludf.DUMMYFUNCTION("""COMPUTED_VALUE"""),466)</f>
        <v>466</v>
      </c>
    </row>
    <row r="468" spans="1:1" ht="13.2">
      <c r="A468" s="9">
        <f ca="1">IFERROR(__xludf.DUMMYFUNCTION("""COMPUTED_VALUE"""),467)</f>
        <v>467</v>
      </c>
    </row>
    <row r="469" spans="1:1" ht="13.2">
      <c r="A469" s="9">
        <f ca="1">IFERROR(__xludf.DUMMYFUNCTION("""COMPUTED_VALUE"""),468)</f>
        <v>468</v>
      </c>
    </row>
    <row r="470" spans="1:1" ht="13.2">
      <c r="A470" s="9">
        <f ca="1">IFERROR(__xludf.DUMMYFUNCTION("""COMPUTED_VALUE"""),469)</f>
        <v>469</v>
      </c>
    </row>
    <row r="471" spans="1:1" ht="13.2">
      <c r="A471" s="9"/>
    </row>
    <row r="472" spans="1:1" ht="13.2">
      <c r="A472" s="9">
        <f ca="1">IFERROR(__xludf.DUMMYFUNCTION("""COMPUTED_VALUE"""),471)</f>
        <v>471</v>
      </c>
    </row>
    <row r="473" spans="1:1" ht="13.2">
      <c r="A473" s="9">
        <f ca="1">IFERROR(__xludf.DUMMYFUNCTION("""COMPUTED_VALUE"""),472)</f>
        <v>472</v>
      </c>
    </row>
    <row r="474" spans="1:1" ht="13.2">
      <c r="A474" s="9">
        <f ca="1">IFERROR(__xludf.DUMMYFUNCTION("""COMPUTED_VALUE"""),473)</f>
        <v>473</v>
      </c>
    </row>
    <row r="475" spans="1:1" ht="13.2">
      <c r="A475" s="9">
        <f ca="1">IFERROR(__xludf.DUMMYFUNCTION("""COMPUTED_VALUE"""),474)</f>
        <v>474</v>
      </c>
    </row>
    <row r="476" spans="1:1" ht="13.2">
      <c r="A476" s="9">
        <f ca="1">IFERROR(__xludf.DUMMYFUNCTION("""COMPUTED_VALUE"""),475)</f>
        <v>475</v>
      </c>
    </row>
    <row r="477" spans="1:1" ht="13.2">
      <c r="A477" s="9">
        <f ca="1">IFERROR(__xludf.DUMMYFUNCTION("""COMPUTED_VALUE"""),476)</f>
        <v>476</v>
      </c>
    </row>
    <row r="478" spans="1:1" ht="13.2">
      <c r="A478" s="9">
        <f ca="1">IFERROR(__xludf.DUMMYFUNCTION("""COMPUTED_VALUE"""),477)</f>
        <v>477</v>
      </c>
    </row>
    <row r="479" spans="1:1" ht="13.2">
      <c r="A479" s="9">
        <f ca="1">IFERROR(__xludf.DUMMYFUNCTION("""COMPUTED_VALUE"""),478)</f>
        <v>478</v>
      </c>
    </row>
    <row r="480" spans="1:1" ht="13.2">
      <c r="A480" s="9">
        <f ca="1">IFERROR(__xludf.DUMMYFUNCTION("""COMPUTED_VALUE"""),479)</f>
        <v>479</v>
      </c>
    </row>
    <row r="482" spans="1:1" ht="13.2">
      <c r="A482" s="9">
        <f ca="1">IFERROR(__xludf.DUMMYFUNCTION("""COMPUTED_VALUE"""),481)</f>
        <v>481</v>
      </c>
    </row>
    <row r="483" spans="1:1" ht="13.2">
      <c r="A483" s="9">
        <f ca="1">IFERROR(__xludf.DUMMYFUNCTION("""COMPUTED_VALUE"""),482)</f>
        <v>482</v>
      </c>
    </row>
    <row r="484" spans="1:1" ht="13.2">
      <c r="A484" s="9">
        <f ca="1">IFERROR(__xludf.DUMMYFUNCTION("""COMPUTED_VALUE"""),483)</f>
        <v>483</v>
      </c>
    </row>
    <row r="485" spans="1:1" ht="13.2">
      <c r="A485" s="9">
        <f ca="1">IFERROR(__xludf.DUMMYFUNCTION("""COMPUTED_VALUE"""),484)</f>
        <v>484</v>
      </c>
    </row>
    <row r="486" spans="1:1" ht="13.2">
      <c r="A486" s="9">
        <f ca="1">IFERROR(__xludf.DUMMYFUNCTION("""COMPUTED_VALUE"""),485)</f>
        <v>485</v>
      </c>
    </row>
    <row r="487" spans="1:1" ht="13.2">
      <c r="A487" s="9">
        <f ca="1">IFERROR(__xludf.DUMMYFUNCTION("""COMPUTED_VALUE"""),486)</f>
        <v>486</v>
      </c>
    </row>
    <row r="488" spans="1:1" ht="13.2">
      <c r="A488" s="9">
        <f ca="1">IFERROR(__xludf.DUMMYFUNCTION("""COMPUTED_VALUE"""),487)</f>
        <v>487</v>
      </c>
    </row>
    <row r="489" spans="1:1" ht="13.2">
      <c r="A489" s="9">
        <f ca="1">IFERROR(__xludf.DUMMYFUNCTION("""COMPUTED_VALUE"""),488)</f>
        <v>488</v>
      </c>
    </row>
    <row r="490" spans="1:1" ht="13.2">
      <c r="A490" s="9">
        <f ca="1">IFERROR(__xludf.DUMMYFUNCTION("""COMPUTED_VALUE"""),489)</f>
        <v>489</v>
      </c>
    </row>
    <row r="491" spans="1:1" ht="13.2">
      <c r="A491" s="9">
        <f ca="1">IFERROR(__xludf.DUMMYFUNCTION("""COMPUTED_VALUE"""),490)</f>
        <v>490</v>
      </c>
    </row>
    <row r="492" spans="1:1" ht="13.2">
      <c r="A492" s="9">
        <f ca="1">IFERROR(__xludf.DUMMYFUNCTION("""COMPUTED_VALUE"""),491)</f>
        <v>491</v>
      </c>
    </row>
    <row r="493" spans="1:1" ht="13.2">
      <c r="A493" s="9">
        <f ca="1">IFERROR(__xludf.DUMMYFUNCTION("""COMPUTED_VALUE"""),492)</f>
        <v>492</v>
      </c>
    </row>
    <row r="494" spans="1:1" ht="13.2">
      <c r="A494" s="9">
        <f ca="1">IFERROR(__xludf.DUMMYFUNCTION("""COMPUTED_VALUE"""),493)</f>
        <v>493</v>
      </c>
    </row>
    <row r="495" spans="1:1" ht="13.2">
      <c r="A495" s="9">
        <f ca="1">IFERROR(__xludf.DUMMYFUNCTION("""COMPUTED_VALUE"""),494)</f>
        <v>494</v>
      </c>
    </row>
    <row r="496" spans="1:1" ht="13.2">
      <c r="A496" s="9">
        <f ca="1">IFERROR(__xludf.DUMMYFUNCTION("""COMPUTED_VALUE"""),495)</f>
        <v>495</v>
      </c>
    </row>
    <row r="497" spans="1:1" ht="13.2">
      <c r="A497" s="9">
        <f ca="1">IFERROR(__xludf.DUMMYFUNCTION("""COMPUTED_VALUE"""),496)</f>
        <v>496</v>
      </c>
    </row>
    <row r="498" spans="1:1" ht="13.2">
      <c r="A498" s="9">
        <f ca="1">IFERROR(__xludf.DUMMYFUNCTION("""COMPUTED_VALUE"""),497)</f>
        <v>497</v>
      </c>
    </row>
    <row r="499" spans="1:1" ht="13.2">
      <c r="A499" s="9">
        <f ca="1">IFERROR(__xludf.DUMMYFUNCTION("""COMPUTED_VALUE"""),498)</f>
        <v>498</v>
      </c>
    </row>
    <row r="500" spans="1:1" ht="13.2">
      <c r="A500" s="9">
        <f ca="1">IFERROR(__xludf.DUMMYFUNCTION("""COMPUTED_VALUE"""),499)</f>
        <v>499</v>
      </c>
    </row>
    <row r="501" spans="1:1" ht="13.2">
      <c r="A501" s="9"/>
    </row>
    <row r="502" spans="1:1" ht="13.2">
      <c r="A502" s="9">
        <f ca="1">IFERROR(__xludf.DUMMYFUNCTION("""COMPUTED_VALUE"""),501)</f>
        <v>501</v>
      </c>
    </row>
    <row r="503" spans="1:1" ht="13.2">
      <c r="A503" s="9">
        <f ca="1">IFERROR(__xludf.DUMMYFUNCTION("""COMPUTED_VALUE"""),502)</f>
        <v>502</v>
      </c>
    </row>
    <row r="504" spans="1:1" ht="13.2">
      <c r="A504" s="9">
        <f ca="1">IFERROR(__xludf.DUMMYFUNCTION("""COMPUTED_VALUE"""),503)</f>
        <v>503</v>
      </c>
    </row>
    <row r="505" spans="1:1" ht="13.2">
      <c r="A505" s="9">
        <f ca="1">IFERROR(__xludf.DUMMYFUNCTION("""COMPUTED_VALUE"""),504)</f>
        <v>504</v>
      </c>
    </row>
    <row r="506" spans="1:1" ht="13.2">
      <c r="A506" s="9"/>
    </row>
    <row r="507" spans="1:1" ht="13.2">
      <c r="A507" s="9">
        <f ca="1">IFERROR(__xludf.DUMMYFUNCTION("""COMPUTED_VALUE"""),506)</f>
        <v>506</v>
      </c>
    </row>
    <row r="508" spans="1:1" ht="13.2">
      <c r="A508" s="9">
        <f ca="1">IFERROR(__xludf.DUMMYFUNCTION("""COMPUTED_VALUE"""),507)</f>
        <v>507</v>
      </c>
    </row>
    <row r="509" spans="1:1" ht="13.2">
      <c r="A509" s="9">
        <f ca="1">IFERROR(__xludf.DUMMYFUNCTION("""COMPUTED_VALUE"""),508)</f>
        <v>508</v>
      </c>
    </row>
    <row r="510" spans="1:1" ht="13.2">
      <c r="A510" s="9">
        <f ca="1">IFERROR(__xludf.DUMMYFUNCTION("""COMPUTED_VALUE"""),509)</f>
        <v>509</v>
      </c>
    </row>
    <row r="511" spans="1:1" ht="13.2">
      <c r="A511" s="9">
        <f ca="1">IFERROR(__xludf.DUMMYFUNCTION("""COMPUTED_VALUE"""),510)</f>
        <v>510</v>
      </c>
    </row>
    <row r="514" spans="1:1" ht="13.2">
      <c r="A514" s="9">
        <f ca="1">IFERROR(__xludf.DUMMYFUNCTION("""COMPUTED_VALUE"""),513)</f>
        <v>513</v>
      </c>
    </row>
    <row r="515" spans="1:1" ht="13.2">
      <c r="A515" s="9">
        <f ca="1">IFERROR(__xludf.DUMMYFUNCTION("""COMPUTED_VALUE"""),514)</f>
        <v>514</v>
      </c>
    </row>
    <row r="516" spans="1:1" ht="13.2">
      <c r="A516" s="9">
        <f ca="1">IFERROR(__xludf.DUMMYFUNCTION("""COMPUTED_VALUE"""),515)</f>
        <v>515</v>
      </c>
    </row>
    <row r="517" spans="1:1" ht="13.2">
      <c r="A517" s="9">
        <f ca="1">IFERROR(__xludf.DUMMYFUNCTION("""COMPUTED_VALUE"""),516)</f>
        <v>516</v>
      </c>
    </row>
    <row r="518" spans="1:1" ht="13.2">
      <c r="A518" s="9">
        <f ca="1">IFERROR(__xludf.DUMMYFUNCTION("""COMPUTED_VALUE"""),517)</f>
        <v>517</v>
      </c>
    </row>
    <row r="519" spans="1:1" ht="13.2">
      <c r="A519" s="9"/>
    </row>
    <row r="520" spans="1:1" ht="13.2">
      <c r="A520" s="9">
        <f ca="1">IFERROR(__xludf.DUMMYFUNCTION("""COMPUTED_VALUE"""),519)</f>
        <v>519</v>
      </c>
    </row>
    <row r="521" spans="1:1" ht="13.2">
      <c r="A521" s="9">
        <f ca="1">IFERROR(__xludf.DUMMYFUNCTION("""COMPUTED_VALUE"""),520)</f>
        <v>520</v>
      </c>
    </row>
    <row r="522" spans="1:1" ht="13.2">
      <c r="A522" s="9">
        <f ca="1">IFERROR(__xludf.DUMMYFUNCTION("""COMPUTED_VALUE"""),521)</f>
        <v>521</v>
      </c>
    </row>
    <row r="523" spans="1:1" ht="13.2">
      <c r="A523" s="9">
        <f ca="1">IFERROR(__xludf.DUMMYFUNCTION("""COMPUTED_VALUE"""),522)</f>
        <v>522</v>
      </c>
    </row>
    <row r="524" spans="1:1" ht="13.2">
      <c r="A524" s="9">
        <f ca="1">IFERROR(__xludf.DUMMYFUNCTION("""COMPUTED_VALUE"""),523)</f>
        <v>523</v>
      </c>
    </row>
    <row r="525" spans="1:1" ht="13.2">
      <c r="A525" s="9">
        <f ca="1">IFERROR(__xludf.DUMMYFUNCTION("""COMPUTED_VALUE"""),524)</f>
        <v>524</v>
      </c>
    </row>
    <row r="526" spans="1:1" ht="13.2">
      <c r="A526" s="9">
        <f ca="1">IFERROR(__xludf.DUMMYFUNCTION("""COMPUTED_VALUE"""),525)</f>
        <v>525</v>
      </c>
    </row>
    <row r="527" spans="1:1" ht="13.2">
      <c r="A527" s="9"/>
    </row>
    <row r="528" spans="1:1" ht="13.2">
      <c r="A528" s="9">
        <f ca="1">IFERROR(__xludf.DUMMYFUNCTION("""COMPUTED_VALUE"""),527)</f>
        <v>527</v>
      </c>
    </row>
    <row r="529" spans="1:1" ht="13.2">
      <c r="A529" s="9">
        <f ca="1">IFERROR(__xludf.DUMMYFUNCTION("""COMPUTED_VALUE"""),528)</f>
        <v>528</v>
      </c>
    </row>
    <row r="530" spans="1:1" ht="13.2">
      <c r="A530" s="9">
        <f ca="1">IFERROR(__xludf.DUMMYFUNCTION("""COMPUTED_VALUE"""),529)</f>
        <v>529</v>
      </c>
    </row>
    <row r="531" spans="1:1" ht="13.2">
      <c r="A531" s="9"/>
    </row>
    <row r="532" spans="1:1" ht="13.2">
      <c r="A532" s="9">
        <f ca="1">IFERROR(__xludf.DUMMYFUNCTION("""COMPUTED_VALUE"""),531)</f>
        <v>531</v>
      </c>
    </row>
    <row r="533" spans="1:1" ht="13.2">
      <c r="A533" s="9">
        <f ca="1">IFERROR(__xludf.DUMMYFUNCTION("""COMPUTED_VALUE"""),532)</f>
        <v>532</v>
      </c>
    </row>
    <row r="534" spans="1:1" ht="13.2">
      <c r="A534" s="9">
        <f ca="1">IFERROR(__xludf.DUMMYFUNCTION("""COMPUTED_VALUE"""),533)</f>
        <v>533</v>
      </c>
    </row>
    <row r="535" spans="1:1" ht="13.2">
      <c r="A535" s="9"/>
    </row>
    <row r="536" spans="1:1" ht="13.2">
      <c r="A536" s="9">
        <f ca="1">IFERROR(__xludf.DUMMYFUNCTION("""COMPUTED_VALUE"""),535)</f>
        <v>535</v>
      </c>
    </row>
    <row r="537" spans="1:1" ht="13.2">
      <c r="A537" s="9">
        <f ca="1">IFERROR(__xludf.DUMMYFUNCTION("""COMPUTED_VALUE"""),536)</f>
        <v>536</v>
      </c>
    </row>
    <row r="538" spans="1:1" ht="13.2">
      <c r="A538" s="9">
        <f ca="1">IFERROR(__xludf.DUMMYFUNCTION("""COMPUTED_VALUE"""),537)</f>
        <v>537</v>
      </c>
    </row>
    <row r="539" spans="1:1" ht="13.2">
      <c r="A539" s="9">
        <f ca="1">IFERROR(__xludf.DUMMYFUNCTION("""COMPUTED_VALUE"""),538)</f>
        <v>538</v>
      </c>
    </row>
    <row r="540" spans="1:1" ht="13.2">
      <c r="A540" s="9"/>
    </row>
    <row r="541" spans="1:1" ht="13.2">
      <c r="A541" s="9">
        <f ca="1">IFERROR(__xludf.DUMMYFUNCTION("""COMPUTED_VALUE"""),540)</f>
        <v>540</v>
      </c>
    </row>
    <row r="542" spans="1:1" ht="13.2">
      <c r="A542" s="9">
        <f ca="1">IFERROR(__xludf.DUMMYFUNCTION("""COMPUTED_VALUE"""),541)</f>
        <v>541</v>
      </c>
    </row>
    <row r="543" spans="1:1" ht="13.2">
      <c r="A543" s="9">
        <f ca="1">IFERROR(__xludf.DUMMYFUNCTION("""COMPUTED_VALUE"""),542)</f>
        <v>542</v>
      </c>
    </row>
    <row r="544" spans="1:1" ht="13.2">
      <c r="A544" s="9">
        <f ca="1">IFERROR(__xludf.DUMMYFUNCTION("""COMPUTED_VALUE"""),543)</f>
        <v>543</v>
      </c>
    </row>
    <row r="545" spans="1:1" ht="13.2">
      <c r="A545" s="9">
        <f ca="1">IFERROR(__xludf.DUMMYFUNCTION("""COMPUTED_VALUE"""),544)</f>
        <v>544</v>
      </c>
    </row>
    <row r="546" spans="1:1" ht="13.2">
      <c r="A546" s="9">
        <f ca="1">IFERROR(__xludf.DUMMYFUNCTION("""COMPUTED_VALUE"""),545)</f>
        <v>545</v>
      </c>
    </row>
    <row r="547" spans="1:1" ht="13.2">
      <c r="A547" s="9">
        <f ca="1">IFERROR(__xludf.DUMMYFUNCTION("""COMPUTED_VALUE"""),546)</f>
        <v>546</v>
      </c>
    </row>
    <row r="548" spans="1:1" ht="13.2">
      <c r="A548" s="9">
        <f ca="1">IFERROR(__xludf.DUMMYFUNCTION("""COMPUTED_VALUE"""),547)</f>
        <v>547</v>
      </c>
    </row>
    <row r="549" spans="1:1" ht="13.2">
      <c r="A549" s="9">
        <f ca="1">IFERROR(__xludf.DUMMYFUNCTION("""COMPUTED_VALUE"""),548)</f>
        <v>548</v>
      </c>
    </row>
    <row r="550" spans="1:1" ht="13.2">
      <c r="A550" s="9">
        <f ca="1">IFERROR(__xludf.DUMMYFUNCTION("""COMPUTED_VALUE"""),549)</f>
        <v>549</v>
      </c>
    </row>
  </sheetData>
  <autoFilter ref="A1:S172" xr:uid="{00000000-0009-0000-0000-000004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d6b0736-4c70-43a2-b048-f44e187f41fb">
      <Terms xmlns="http://schemas.microsoft.com/office/infopath/2007/PartnerControls"/>
    </lcf76f155ced4ddcb4097134ff3c332f>
    <TaxCatchAll xmlns="630142d8-fae8-4102-bf16-64a49700c719" xsi:nil="true"/>
    <SharedWithUsers xmlns="630142d8-fae8-4102-bf16-64a49700c719">
      <UserInfo>
        <DisplayName>Ana Maria Ulloa Camacho</DisplayName>
        <AccountId>115</AccountId>
        <AccountType/>
      </UserInfo>
      <UserInfo>
        <DisplayName>Mario Andres Castro Latorre</DisplayName>
        <AccountId>116</AccountId>
        <AccountType/>
      </UserInfo>
      <UserInfo>
        <DisplayName>Armando Alberto Montanez Delgado</DisplayName>
        <AccountId>117</AccountId>
        <AccountType/>
      </UserInfo>
      <UserInfo>
        <DisplayName>Camilo Andres Vasquez Vesga</DisplayName>
        <AccountId>118</AccountId>
        <AccountType/>
      </UserInfo>
      <UserInfo>
        <DisplayName>Carlos Eduardo Escandon Vargas</DisplayName>
        <AccountId>119</AccountId>
        <AccountType/>
      </UserInfo>
      <UserInfo>
        <DisplayName>Claudia Fernanda Pineda Diaz</DisplayName>
        <AccountId>120</AccountId>
        <AccountType/>
      </UserInfo>
      <UserInfo>
        <DisplayName>Lizeth Daniela Velasco Vega</DisplayName>
        <AccountId>121</AccountId>
        <AccountType/>
      </UserInfo>
      <UserInfo>
        <DisplayName>David Alejandro Mendieta Espinosa</DisplayName>
        <AccountId>122</AccountId>
        <AccountType/>
      </UserInfo>
      <UserInfo>
        <DisplayName>Derly Adriana Castillo Rodriguez</DisplayName>
        <AccountId>123</AccountId>
        <AccountType/>
      </UserInfo>
      <UserInfo>
        <DisplayName>Diego Nicolas Gutierrez Gonzalez</DisplayName>
        <AccountId>124</AccountId>
        <AccountType/>
      </UserInfo>
      <UserInfo>
        <DisplayName>James Fernando Nunez Rodriguez</DisplayName>
        <AccountId>125</AccountId>
        <AccountType/>
      </UserInfo>
      <UserInfo>
        <DisplayName>Jimmy Alejandro Osorio Tarazona</DisplayName>
        <AccountId>126</AccountId>
        <AccountType/>
      </UserInfo>
      <UserInfo>
        <DisplayName>Joan Sebastian Garcia Pulido</DisplayName>
        <AccountId>127</AccountId>
        <AccountType/>
      </UserInfo>
      <UserInfo>
        <DisplayName>Jose Ignacio Melendez Albarracin</DisplayName>
        <AccountId>128</AccountId>
        <AccountType/>
      </UserInfo>
      <UserInfo>
        <DisplayName>Juan Pablo Serna Cardona</DisplayName>
        <AccountId>129</AccountId>
        <AccountType/>
      </UserInfo>
      <UserInfo>
        <DisplayName>Laura Camila Bechara Cordoba</DisplayName>
        <AccountId>130</AccountId>
        <AccountType/>
      </UserInfo>
      <UserInfo>
        <DisplayName>Laura Sofia Morales Alvarado</DisplayName>
        <AccountId>131</AccountId>
        <AccountType/>
      </UserInfo>
      <UserInfo>
        <DisplayName>Luis Fernando Barreto Gonzalez</DisplayName>
        <AccountId>132</AccountId>
        <AccountType/>
      </UserInfo>
      <UserInfo>
        <DisplayName>Maria Angelica Higuera Gelvez</DisplayName>
        <AccountId>133</AccountId>
        <AccountType/>
      </UserInfo>
      <UserInfo>
        <DisplayName>Nancy Stella Villa Ososrio</DisplayName>
        <AccountId>134</AccountId>
        <AccountType/>
      </UserInfo>
      <UserInfo>
        <DisplayName>Nestor Jecfrid Sanchez Santan</DisplayName>
        <AccountId>135</AccountId>
        <AccountType/>
      </UserInfo>
      <UserInfo>
        <DisplayName>Nicolas Enrique Moncaleano Calderon</DisplayName>
        <AccountId>136</AccountId>
        <AccountType/>
      </UserInfo>
      <UserInfo>
        <DisplayName>Nicolas Esteban Hernandez Moncada</DisplayName>
        <AccountId>137</AccountId>
        <AccountType/>
      </UserInfo>
      <UserInfo>
        <DisplayName>Nixon Sandoval Mateus</DisplayName>
        <AccountId>138</AccountId>
        <AccountType/>
      </UserInfo>
      <UserInfo>
        <DisplayName>Paula Andrea Gonzalez Rodriguez</DisplayName>
        <AccountId>139</AccountId>
        <AccountType/>
      </UserInfo>
      <UserInfo>
        <DisplayName>Reinaldo Terrios Andrade</DisplayName>
        <AccountId>140</AccountId>
        <AccountType/>
      </UserInfo>
      <UserInfo>
        <DisplayName>Renata Rengifo Moyano</DisplayName>
        <AccountId>141</AccountId>
        <AccountType/>
      </UserInfo>
      <UserInfo>
        <DisplayName>William Arturo Gonzalez Melo</DisplayName>
        <AccountId>142</AccountId>
        <AccountType/>
      </UserInfo>
      <UserInfo>
        <DisplayName>Yeiker Jose Guerra Sarmiento</DisplayName>
        <AccountId>143</AccountId>
        <AccountType/>
      </UserInfo>
      <UserInfo>
        <DisplayName>Zuly Marcela Mesa Casas</DisplayName>
        <AccountId>144</AccountId>
        <AccountType/>
      </UserInfo>
      <UserInfo>
        <DisplayName>Cesar Augusto Barrantes Bohorquez</DisplayName>
        <AccountId>112</AccountId>
        <AccountType/>
      </UserInfo>
      <UserInfo>
        <DisplayName>Manuel Fernando Vergara Leon</DisplayName>
        <AccountId>59</AccountId>
        <AccountType/>
      </UserInfo>
    </SharedWithUsers>
    <_Flow_SignoffStatus xmlns="6d6b0736-4c70-43a2-b048-f44e187f41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6E821F12DD0B64F82FE6575BB9A4925" ma:contentTypeVersion="16" ma:contentTypeDescription="Crear nuevo documento." ma:contentTypeScope="" ma:versionID="db46bb3e99b68b7a2c1ef11381a5c200">
  <xsd:schema xmlns:xsd="http://www.w3.org/2001/XMLSchema" xmlns:xs="http://www.w3.org/2001/XMLSchema" xmlns:p="http://schemas.microsoft.com/office/2006/metadata/properties" xmlns:ns2="6d6b0736-4c70-43a2-b048-f44e187f41fb" xmlns:ns3="630142d8-fae8-4102-bf16-64a49700c719" targetNamespace="http://schemas.microsoft.com/office/2006/metadata/properties" ma:root="true" ma:fieldsID="51859062a094bf52cc4037413cf83773" ns2:_="" ns3:_="">
    <xsd:import namespace="6d6b0736-4c70-43a2-b048-f44e187f41fb"/>
    <xsd:import namespace="630142d8-fae8-4102-bf16-64a49700c7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b0736-4c70-43a2-b048-f44e187f41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68608f6-42bb-40be-97e3-695ad113e9a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3"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0142d8-fae8-4102-bf16-64a49700c71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7fd767-5ce3-4d6c-a917-71f0c4220336}" ma:internalName="TaxCatchAll" ma:showField="CatchAllData" ma:web="630142d8-fae8-4102-bf16-64a49700c71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70F5FD-A628-4DCC-B73E-91EDC799E950}">
  <ds:schemaRefs>
    <ds:schemaRef ds:uri="http://schemas.microsoft.com/office/2006/metadata/properties"/>
    <ds:schemaRef ds:uri="http://schemas.microsoft.com/office/infopath/2007/PartnerControls"/>
    <ds:schemaRef ds:uri="6d6b0736-4c70-43a2-b048-f44e187f41fb"/>
    <ds:schemaRef ds:uri="630142d8-fae8-4102-bf16-64a49700c719"/>
  </ds:schemaRefs>
</ds:datastoreItem>
</file>

<file path=customXml/itemProps2.xml><?xml version="1.0" encoding="utf-8"?>
<ds:datastoreItem xmlns:ds="http://schemas.openxmlformats.org/officeDocument/2006/customXml" ds:itemID="{639E6E7B-B6E2-4DFC-98EE-C672214B3D6B}">
  <ds:schemaRefs>
    <ds:schemaRef ds:uri="http://schemas.microsoft.com/sharepoint/v3/contenttype/forms"/>
  </ds:schemaRefs>
</ds:datastoreItem>
</file>

<file path=customXml/itemProps3.xml><?xml version="1.0" encoding="utf-8"?>
<ds:datastoreItem xmlns:ds="http://schemas.openxmlformats.org/officeDocument/2006/customXml" ds:itemID="{B46B8557-3FC9-41DE-A16A-2425CCD36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6b0736-4c70-43a2-b048-f44e187f41fb"/>
    <ds:schemaRef ds:uri="630142d8-fae8-4102-bf16-64a49700c7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MATRIZ_MACRO</vt:lpstr>
      <vt:lpstr>BASE</vt:lpstr>
      <vt:lpstr>BETA_COMPR_TABLERO</vt:lpstr>
      <vt:lpstr>DATA_MATRIZ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Esteban</dc:creator>
  <cp:keywords/>
  <dc:description/>
  <cp:lastModifiedBy>Nicolas Esteban Florez Castaneda</cp:lastModifiedBy>
  <cp:revision/>
  <dcterms:created xsi:type="dcterms:W3CDTF">2024-06-07T14:28:47Z</dcterms:created>
  <dcterms:modified xsi:type="dcterms:W3CDTF">2024-11-12T17:34:08Z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0x01010036E821F12DD0B64F82FE6575BB9A4925</vt:lpwstr>
  </property>
  <property fmtid="{D5CDD505-2E9C-101B-9397-08002B2CF9AE}" pid="3" name="MediaServiceImageTags">
    <vt:lpwstr/>
  </property>
</Properties>
</file>