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C:\Users\dcsil\OneDrive\GCR.Catalina\CONTRATO 075-2021\PROYECTO DE ARTICULADO POT\DTS 1312201\"/>
    </mc:Choice>
  </mc:AlternateContent>
  <xr:revisionPtr revIDLastSave="0" documentId="8_{14AC054E-5BF7-4B83-A3EB-4714B672C35F}" xr6:coauthVersionLast="47" xr6:coauthVersionMax="47" xr10:uidLastSave="{00000000-0000-0000-0000-000000000000}"/>
  <bookViews>
    <workbookView xWindow="-120" yWindow="-120" windowWidth="29040" windowHeight="15720" xr2:uid="{00000000-000D-0000-FFFF-FFFF00000000}"/>
  </bookViews>
  <sheets>
    <sheet name="PARALELO USOS ACUERDO 16_1998" sheetId="8" r:id="rId1"/>
    <sheet name="EEP"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1" i="2" l="1"/>
  <c r="N15" i="2"/>
  <c r="L10" i="2"/>
  <c r="M10" i="2"/>
  <c r="M5" i="2"/>
  <c r="N10" i="2"/>
  <c r="N100" i="2"/>
  <c r="N99" i="2"/>
  <c r="N98" i="2"/>
  <c r="N82" i="2"/>
  <c r="N81" i="2"/>
  <c r="N80" i="2"/>
  <c r="N79" i="2"/>
  <c r="N78" i="2"/>
  <c r="N77" i="2"/>
  <c r="N76" i="2"/>
  <c r="N75" i="2"/>
  <c r="N74" i="2"/>
  <c r="N73" i="2"/>
  <c r="N72" i="2"/>
  <c r="N71" i="2"/>
  <c r="N70" i="2"/>
  <c r="N69" i="2"/>
  <c r="N68" i="2"/>
  <c r="N67" i="2"/>
  <c r="N66" i="2"/>
  <c r="N65" i="2"/>
  <c r="N64" i="2"/>
  <c r="N63" i="2"/>
  <c r="N62" i="2"/>
  <c r="N61" i="2"/>
  <c r="N60" i="2"/>
  <c r="N59" i="2"/>
  <c r="N58" i="2"/>
  <c r="N57" i="2"/>
  <c r="N56" i="2"/>
  <c r="N55" i="2"/>
  <c r="N54" i="2"/>
  <c r="N53" i="2"/>
  <c r="N52" i="2"/>
  <c r="N51" i="2"/>
  <c r="N50" i="2"/>
  <c r="N49" i="2"/>
  <c r="N48" i="2"/>
  <c r="N47" i="2"/>
  <c r="N46" i="2"/>
  <c r="N45" i="2"/>
  <c r="N44" i="2"/>
  <c r="N43" i="2"/>
  <c r="N42" i="2"/>
  <c r="N41" i="2"/>
  <c r="N40" i="2"/>
  <c r="N39" i="2"/>
  <c r="N38" i="2"/>
  <c r="N37" i="2"/>
  <c r="N36" i="2"/>
  <c r="N35" i="2"/>
  <c r="N34" i="2"/>
  <c r="N33" i="2"/>
  <c r="N32" i="2"/>
  <c r="N31" i="2"/>
  <c r="N30" i="2"/>
  <c r="N29" i="2"/>
  <c r="N28" i="2"/>
  <c r="N27" i="2"/>
  <c r="N26" i="2"/>
  <c r="N25" i="2"/>
  <c r="N24" i="2"/>
  <c r="N23" i="2"/>
  <c r="N22" i="2"/>
  <c r="N21" i="2"/>
  <c r="N20" i="2"/>
  <c r="N19" i="2"/>
  <c r="N18" i="2"/>
  <c r="N14" i="2"/>
  <c r="N13" i="2"/>
  <c r="N12" i="2"/>
  <c r="N5" i="2"/>
</calcChain>
</file>

<file path=xl/sharedStrings.xml><?xml version="1.0" encoding="utf-8"?>
<sst xmlns="http://schemas.openxmlformats.org/spreadsheetml/2006/main" count="661" uniqueCount="300">
  <si>
    <t>Bosque de las Mercedes en Suba</t>
  </si>
  <si>
    <t>Pantanos Colgantes</t>
  </si>
  <si>
    <t>Lagunas de Bocagrande</t>
  </si>
  <si>
    <t>Cerros de Suba</t>
  </si>
  <si>
    <t>Las Vegas</t>
  </si>
  <si>
    <t>Subpáramo Cuchilla Las Ánimas</t>
  </si>
  <si>
    <t>Páramo Puente Piedra</t>
  </si>
  <si>
    <t>Área de Restauración de Santa Bárbara</t>
  </si>
  <si>
    <t>Corredor de Restauración La Requilina</t>
  </si>
  <si>
    <t>Sierras del Chicó</t>
  </si>
  <si>
    <t>Área de restauración Las Vegas</t>
  </si>
  <si>
    <t>Quebrada El Salitre</t>
  </si>
  <si>
    <t>Encenillales de Pasquilla</t>
  </si>
  <si>
    <t>Corredor de Restauración de Piedra Gorda</t>
  </si>
  <si>
    <t>Los Soches</t>
  </si>
  <si>
    <t>Subpáramo Quebrada Cuartas</t>
  </si>
  <si>
    <t>San Juan</t>
  </si>
  <si>
    <t>Bajo Río Gallo</t>
  </si>
  <si>
    <t>Corredor de Restauración Encenillales   de Pasquilla</t>
  </si>
  <si>
    <t>Corredor de restauración Aguadita-La Regadera</t>
  </si>
  <si>
    <t>Área de Restauración Canteras del Boquerón</t>
  </si>
  <si>
    <t xml:space="preserve">Subpáramo El Tuste </t>
  </si>
  <si>
    <t>Alto San Juan</t>
  </si>
  <si>
    <t>Alto Río Chochal</t>
  </si>
  <si>
    <t>Páramo Los Salitres</t>
  </si>
  <si>
    <t>Corredor de Restauración río Curubital</t>
  </si>
  <si>
    <t>Corredor de Restauración Yomasa Alta</t>
  </si>
  <si>
    <t>Subpáramo El Oro</t>
  </si>
  <si>
    <t>Quebrada Honda</t>
  </si>
  <si>
    <t>El Zarpazo</t>
  </si>
  <si>
    <t>Páramo de Andes</t>
  </si>
  <si>
    <t>Encenillales del Mochuelo</t>
  </si>
  <si>
    <t>Subpáramo Hoya Honda</t>
  </si>
  <si>
    <t>San Antonio</t>
  </si>
  <si>
    <t>Las Abras</t>
  </si>
  <si>
    <t>Subpáramo La Regadera</t>
  </si>
  <si>
    <t>Área de Restauración Los Arbolocos-Chiguaza</t>
  </si>
  <si>
    <t>Corredor de Restauración Santa Librada-Bolonia</t>
  </si>
  <si>
    <t>Pilar y Sumapaz</t>
  </si>
  <si>
    <t xml:space="preserve">Subpáramo del Salitre </t>
  </si>
  <si>
    <t xml:space="preserve">El Istmo </t>
  </si>
  <si>
    <t>Páramo Las Mercedes-Pasquilla</t>
  </si>
  <si>
    <t>Área de Restauración Subpáramo       Parada del Viento</t>
  </si>
  <si>
    <t xml:space="preserve">Subpáramo Cháscales </t>
  </si>
  <si>
    <t>Páramo Alto Río Gallo</t>
  </si>
  <si>
    <t>Páramo Alto Chisacá</t>
  </si>
  <si>
    <t>Corredor de Restauración Río Tunjuelo</t>
  </si>
  <si>
    <t>Corredor de Restauración microcuenca Paso Colorado</t>
  </si>
  <si>
    <t>El Carraco</t>
  </si>
  <si>
    <t>Cerro de Torca</t>
  </si>
  <si>
    <t>Peña Blanca</t>
  </si>
  <si>
    <t>La Regadera</t>
  </si>
  <si>
    <t>Humedales de Torca y Guaymaral</t>
  </si>
  <si>
    <t>X</t>
  </si>
  <si>
    <t>x</t>
  </si>
  <si>
    <t>Área de Restauración Subpáramo de Olarte</t>
  </si>
  <si>
    <t>Humedal de Tibanica</t>
  </si>
  <si>
    <t>Humedal de La Vaca</t>
  </si>
  <si>
    <t>Humedal del Burro</t>
  </si>
  <si>
    <t>Humedal de Techo</t>
  </si>
  <si>
    <t xml:space="preserve">Humedal de Capellanía o La Cofradía </t>
  </si>
  <si>
    <t>Humedal del Meandro del Say</t>
  </si>
  <si>
    <t>Humedal de Santa María del Lago</t>
  </si>
  <si>
    <t>Humedal de Córdoba y Niza</t>
  </si>
  <si>
    <t>Humedal de Jaboque (MP de la SDA suspendida)</t>
  </si>
  <si>
    <t>Humedal de Juan Amarillo o Tibabuyes</t>
  </si>
  <si>
    <t>Humedal de La Conejera</t>
  </si>
  <si>
    <t>PARAMOS</t>
  </si>
  <si>
    <t>HUMEDALES</t>
  </si>
  <si>
    <t xml:space="preserve">AREAS COMPLEMENTARIAS PARA LA CONSERVACIÓN </t>
  </si>
  <si>
    <t>PARQUES URBANOS</t>
  </si>
  <si>
    <t xml:space="preserve">AREAS DE RIESGO NO MITIGABLE </t>
  </si>
  <si>
    <t>COMPONENTE</t>
  </si>
  <si>
    <t xml:space="preserve">CATEGORIA </t>
  </si>
  <si>
    <t xml:space="preserve">ELEMENTO </t>
  </si>
  <si>
    <t>Paqrue Natural Nacional Sumapaz</t>
  </si>
  <si>
    <t>Reserva Forestal Protectora Bosque Oriental de Bogotá</t>
  </si>
  <si>
    <t xml:space="preserve">Reserva Forestal Protectora Productora de la cuenca alta del rio Bogota </t>
  </si>
  <si>
    <t xml:space="preserve">Reserva Forestal Regional productora del Norte de Bogotá  Thomas Van der Hammen </t>
  </si>
  <si>
    <t>Reservas de la Sociedad Civil</t>
  </si>
  <si>
    <t>Parque Ecológico Distrital De Montaña</t>
  </si>
  <si>
    <t xml:space="preserve">Parque Ecológico Distrital de Humedal </t>
  </si>
  <si>
    <t>Área forestal distrital</t>
  </si>
  <si>
    <t>Santuario Distrital de Fauna y Flora.</t>
  </si>
  <si>
    <t xml:space="preserve">NOMBRE DEL ELEMENTO </t>
  </si>
  <si>
    <t xml:space="preserve">SISTEMA HIDRICO </t>
  </si>
  <si>
    <t>DECRETO 190</t>
  </si>
  <si>
    <t>DECRETO 364</t>
  </si>
  <si>
    <t>PROPUESTA 2019</t>
  </si>
  <si>
    <t>Tauro</t>
  </si>
  <si>
    <t xml:space="preserve">Parque Ecológico los Andes </t>
  </si>
  <si>
    <t>Horadado de San Alejo</t>
  </si>
  <si>
    <t>Entre Nubes</t>
  </si>
  <si>
    <t xml:space="preserve">Cerro Seco </t>
  </si>
  <si>
    <t xml:space="preserve">Areas de Recarga de Acuiferos </t>
  </si>
  <si>
    <t xml:space="preserve">Nacimientos de Agua </t>
  </si>
  <si>
    <t>Humedal El Tunjo (Declarado: Acuerdo 577 de 2014) * Nueva área declarada</t>
  </si>
  <si>
    <t>Humedal Salitre (Declarado: Acuerdo 577 de 2014) * Nueva área declarada</t>
  </si>
  <si>
    <t>Humedal La Isla (Declarado: Acuerdo 577 de 2014) * Nueva área declarada</t>
  </si>
  <si>
    <t>Corredor Cruz Verde- Sumapaz</t>
  </si>
  <si>
    <t xml:space="preserve">Embalse, Lagos, Lagunas y Humedales </t>
  </si>
  <si>
    <t>COMPONENTE DE LA EEP</t>
  </si>
  <si>
    <t>AREA DE MANEJO ESPECIAL DEL RIO BOGOTA</t>
  </si>
  <si>
    <t>Parques Metropolitanos</t>
  </si>
  <si>
    <t xml:space="preserve">Parques Regionales </t>
  </si>
  <si>
    <t>Parques Zonales</t>
  </si>
  <si>
    <t>AREAS DE  ESPECIAL IMPORTANCIA ECOSISTEMICAS</t>
  </si>
  <si>
    <t xml:space="preserve">CORREDORES ECOLOGICOS DE TRANSICIÓN RURAL </t>
  </si>
  <si>
    <t>Areas de Manejo Especial de Rio Bogotá</t>
  </si>
  <si>
    <t xml:space="preserve">Reserva Distrital de Conservación de ecosistemas </t>
  </si>
  <si>
    <t xml:space="preserve">Reserva Campesina de producción agroecologica </t>
  </si>
  <si>
    <t xml:space="preserve">Parques de Protección por riesgo /Parques de Protección </t>
  </si>
  <si>
    <t xml:space="preserve">CONECTORES ECOLOGICOS </t>
  </si>
  <si>
    <t>CERCAS VIVAS EN SUELO RURAL</t>
  </si>
  <si>
    <t>AREAS DE CONTROL AMBIENTAL</t>
  </si>
  <si>
    <t>SISTEMAS URBANOS SOSTENIBLES/CANALES</t>
  </si>
  <si>
    <t xml:space="preserve">Parques Ecologicos Rurales </t>
  </si>
  <si>
    <t xml:space="preserve">Area Silvestre Distrital </t>
  </si>
  <si>
    <t xml:space="preserve">Monumento Natural Distrital </t>
  </si>
  <si>
    <t xml:space="preserve">Agroparque Distrital </t>
  </si>
  <si>
    <t>PARQUE LINEAL HIDRICO</t>
  </si>
  <si>
    <t>Según el D. 364 de 2013 debia ser delimitada según el realinderamiento de la cuenca alta</t>
  </si>
  <si>
    <t>Recategorizada por Parque Ecológico Rural Lagunas del Alar</t>
  </si>
  <si>
    <t>Recategorizada RFPP Cuenca Alta del Río Bogotá</t>
  </si>
  <si>
    <t>Recategorizada RTVDH</t>
  </si>
  <si>
    <t>Recategorización Parque Nacional Natural Sumapaz.</t>
  </si>
  <si>
    <t>Recategorización por el Área Silvestre Distrital Alto Sumapaz.</t>
  </si>
  <si>
    <t>Recategorización total como parte del
Agroparque Los Soches</t>
  </si>
  <si>
    <t>Recategorización como parte del Área Silvestre Río Chochal.</t>
  </si>
  <si>
    <t>Recategorización como parte de Corredores Ecológicos Hídricos</t>
  </si>
  <si>
    <t>Recategroizado como Parque Ecológico Rural Cuenca Alta del Río Tunjuelo.</t>
  </si>
  <si>
    <t xml:space="preserve">Recategorización por el Área Silvestre Distrital Alto Sumapaz. </t>
  </si>
  <si>
    <t>Recategorización parcial como parte de la RFP Bosque Oriental de Bogotá.</t>
  </si>
  <si>
    <t>Recategorización como parte del área parque Ecológico Distrital de Montaña Cerros de Suba</t>
  </si>
  <si>
    <t>Recategorización parcial como parte de la RFP Bosque Oriental de Bogotá.
Recategorización parcial como parte de la RFPP Cuenca Alta del Río Bogotá</t>
  </si>
  <si>
    <t>Recategorización parcial como parte de la RFPP Cuenca Alta del Río Bogotá.
 Recategorización parcial como parte de
las áreas Agroparque La Requilina - El Uval</t>
  </si>
  <si>
    <t>Recategorización parcial como parte de la RFPP Cuenca Alta del Río Bogotá
 Recategorización parcial como parte del Agroparque Quiba</t>
  </si>
  <si>
    <t>Recategorización
parcial como parte del Área Silvestre Distrital Alto Sumapaz</t>
  </si>
  <si>
    <t>Recategorización Parque Nacional Natural Sumapaz. (Parcial).  
Recategorización
parcial como parte del Área Silvestre Distrital Alto Sumapaz</t>
  </si>
  <si>
    <t>Recategorización parcial como parte de las áreas
Área Silvestre Distrital Alto Sumapaz y Agroparque Del Sumapaz, como también en la
categoría Corredor Ecológico Rural.</t>
  </si>
  <si>
    <t>Recategorización parcial como
parte del Área Silvestre Distrital Alto Sumapaz como también en la categoría Corredor
Ecológico Rural.</t>
  </si>
  <si>
    <t>Recategorización parcial como parte de la RFP Bosque Oriental de Bogotá.
Recategorización parcial como parte de la RFPP Cuenca Alta del Río Bogotá.
Recategorización parcial como parte del Área Silvestre Distrital Cuenca Alta del
Río Bogotá</t>
  </si>
  <si>
    <t>Recategorización parcial como parte de la RFPP Cuenca Alta del Río Bogotá.
Recategorización parcial como parte del Área Silvestre Distrital Cuenca Alta del
Río Bogotá</t>
  </si>
  <si>
    <t>Recategorización parcial como parte de la RFPP Cuenca Alta del Río Bogotá.
Recategorización parcial como parte de las áreas Área
Silvestre Distrital Cuenca Alta del Río Bogotá y Parque Ecológico Rural Lagunas del
Alar.</t>
  </si>
  <si>
    <t>Recategorización Parque Nacional Natural Sumapaz. (Parcial).
Recategorización parcial como parte del Área Silvestre Distrital El Chochal y como parte del corredor ecológico Corredor Ecológico Rural</t>
  </si>
  <si>
    <t>Rrecategorización parcial como parte de las áreas Área Silvestre Distrital Río Chochal y Monumento Natural Distrital El Itsmo, como también del corredor
ecológico Corredor Ecológico Rural.</t>
  </si>
  <si>
    <t>Recategorización parcial como parte de la RFPP Cuenca Alta del Río Bogotá.
Recategorización parcial como parte del corredor ecológico Corredor
Ecológico Rural.</t>
  </si>
  <si>
    <t>Recategorización parcial como parte de la RFPP Cuenca Alta del Río Bogotá.
Recategorización parcial como parte del corredor ecológico Corredor Ecológico Rural.</t>
  </si>
  <si>
    <t>Recategorización parcial como parte de la RFP Bosque Oriental de Bogotá.
Recategorización parcial como parte del área Parque Ecológico
Distrital de Montaña Sierra del Chicó.</t>
  </si>
  <si>
    <t>Recategorización como parte de Corredores Ecológicos Hídricos
Recategoriza totalmente
como Parque Ecológico Distrital de Montaña Santa Librada - Bologna</t>
  </si>
  <si>
    <t>DECRETO 190
Ha</t>
  </si>
  <si>
    <t>DECRETO 364
Ha</t>
  </si>
  <si>
    <t>PROPUESTA 2019
Ha</t>
  </si>
  <si>
    <t>Recategorización total como parte de la RFPP Cuenca Alta del Río Bogotá.</t>
  </si>
  <si>
    <t>Recategorización parcial como parte de la Reserva Forestal Regional Productora del Norte de Bogotá DC
"TVdH"</t>
  </si>
  <si>
    <t>Recategorización total como parte de la Parque Ecológico Rural Cuenca Alta del Río Tunjuelo y como parte del corredor
ecológico Corredor Ecológico Rural.</t>
  </si>
  <si>
    <t>Se amplia incorporando el suelo de protección declarado por la Secretaria Distrital de Planeación con base
en los estudios que el IDIGER desarrollo para el sector de Nueva Esperanza, y adicionalmente
se incorporó al suelo urbano los tres polígonos que conforman esta área protegida con lo cual la autoridad ambiental sería la Secretara Distrital de Ambiente.</t>
  </si>
  <si>
    <t>Recategorización parcial como parte de las áreas Reserva Forestal Regional Productora del Norte de Bogotá DC
"TVdH" y RFPP Cuenca Alta del Río Bogotá. 
Aumenta su área sobre el predio “El Charrascal” en armonía
con la Resolución SDA 3653 de 2014</t>
  </si>
  <si>
    <t xml:space="preserve"> Tunal – Concepción, Capitolio - Santo Domingo, Lagunitas, Raizal – Peñalisa, Quebradas de Pasquilla, Chorro de Arriba, El Zarpazo, Chorreras, Sopas, Mochuelo Bajo, Las Vegas, La Requilina, Mochuelo Alto, Qda. Suate, Ánimas, Qda. Olarte, Rio Chochal, Rio Medios, San Juan, y Tabaco - Pontezuela - Llano Grande.</t>
  </si>
  <si>
    <t>Alto Sumapaz, Cuenca Alta del Río Bogotá, Río Chochal, Lagunas del Alar y Río Pontezuela.</t>
  </si>
  <si>
    <t xml:space="preserve"> El Istmo</t>
  </si>
  <si>
    <t>Del Sumapaz, Quiba, La Requilina - El Uval, Las Auras y Los Soches.</t>
  </si>
  <si>
    <t>Parque Lineal Hídrico del Río Bogotá</t>
  </si>
  <si>
    <t>Se delimitabam posteriormente por la SDA y el JBB</t>
  </si>
  <si>
    <t>Los definen el Sistema de Movilidad del D. 364</t>
  </si>
  <si>
    <t>No se delimitan solo se muestra donde pueden ser localizados</t>
  </si>
  <si>
    <t xml:space="preserve">No se delimitan </t>
  </si>
  <si>
    <t>PROPUESTA ACTUAL</t>
  </si>
  <si>
    <t>ESTADO ACTUAL</t>
  </si>
  <si>
    <t>No era parte</t>
  </si>
  <si>
    <t>38,41 Es el mismo chuscales</t>
  </si>
  <si>
    <t>ESTADO ACTUAL
(Has)</t>
  </si>
  <si>
    <t>No figura</t>
  </si>
  <si>
    <t>Cerro de La Conejera</t>
  </si>
  <si>
    <t>Peña Blanca en 364 estan en una misma area se encuentra junto con la regadera</t>
  </si>
  <si>
    <t>Po cruce por cuenca alta</t>
  </si>
  <si>
    <t>AREAS PROTEGIDAS Y ESTRATEGIAS PARA LA CONSERVACIÓN IN SITU</t>
  </si>
  <si>
    <t>ESTRATEGIAS PARA LA CONSERVACIÓN IN SITU</t>
  </si>
  <si>
    <t>Parque Lineal Hídrico de los ríos Tunjuelo, Fucha, Arzobispo, Salitre, las quebradas Yomasa, Morales-Nutria, Chigüaza y los canales Virrey, Molinos, Comuneros, Cundinamarca, Cedro, Torca, Francisco, Boyacá y Albina</t>
  </si>
  <si>
    <t>Corredores Ecologicos de Ronda</t>
  </si>
  <si>
    <t xml:space="preserve">AREA PROTEGIDAS DEL ORDEN NACIONAL Y REGIONAL </t>
  </si>
  <si>
    <t>AREAS PROTEGIDAS ORDEN DISTRITAL</t>
  </si>
  <si>
    <t xml:space="preserve">AREA PROTEGIDAS DEL ORDEN NACIONAL -SINAP-PUBLICAS </t>
  </si>
  <si>
    <t>AREA PROTEGIDAS DEL ORDEN NACIONAL -SINAP-PRIVADAS</t>
  </si>
  <si>
    <t>Parque Ecológico Distrital de Montaña</t>
  </si>
  <si>
    <t>Reserva Distrital de Humedal</t>
  </si>
  <si>
    <t>SISTEMA HÍDRICO</t>
  </si>
  <si>
    <t>PARQUES URBANOS Y RURALES</t>
  </si>
  <si>
    <t>ÁREAS PROTEGIDAS DEL ORDEN DISTRITAL</t>
  </si>
  <si>
    <t xml:space="preserve"> ESTRATEGIAS PARA LA CONSERVACIÓN IN SITU</t>
  </si>
  <si>
    <t>AREAS PROTEGIDAS SINAP</t>
  </si>
  <si>
    <t xml:space="preserve">Conservación </t>
  </si>
  <si>
    <t xml:space="preserve">Restauración </t>
  </si>
  <si>
    <t xml:space="preserve">Sostenible </t>
  </si>
  <si>
    <t>Conocimiento</t>
  </si>
  <si>
    <t>Cuerpos hídricos artificiales</t>
  </si>
  <si>
    <t xml:space="preserve">PRINCIPAL </t>
  </si>
  <si>
    <t xml:space="preserve">CONDICIONADO </t>
  </si>
  <si>
    <t>PROHIBIDO</t>
  </si>
  <si>
    <t>Reservas de la Sociedad Civil - Tauro</t>
  </si>
  <si>
    <t>Reservas de la Sociedad Civil - Horadado de San Alejo</t>
  </si>
  <si>
    <t xml:space="preserve">Cuerpos hídricos naturales - Faja paralela a la línea de mareas máximas o a la del cauce permanente </t>
  </si>
  <si>
    <t>Cuerpos hídricos naturales - Área de protección o conservación aferente</t>
  </si>
  <si>
    <t>Paisaje Sostenible</t>
  </si>
  <si>
    <t>USO</t>
  </si>
  <si>
    <t xml:space="preserve">Conocimiento </t>
  </si>
  <si>
    <t>Restauración ecológica Recuperación de ecosistemas Rehabilitación de ecosistemas.</t>
  </si>
  <si>
    <t xml:space="preserve">Educación ambiental
Investigación
Monitoreo                            </t>
  </si>
  <si>
    <t xml:space="preserve">Residencial </t>
  </si>
  <si>
    <t>Los establecidos en el Decreto 485 de 2015 o cualquier acto administrativo que lo modifique</t>
  </si>
  <si>
    <t>Restauración de ecosistemas.     Recuperación de ecosistemas.
Rehabilitación de ecosistemas.</t>
  </si>
  <si>
    <t>Educación ambiental
Investigación
Monitoreo</t>
  </si>
  <si>
    <t>Restauración</t>
  </si>
  <si>
    <t>PÁRAMOS</t>
  </si>
  <si>
    <t>Restauración de ecosistemas.
Recuperación de ecosistemas.
Rehabilitación de ecosistemas</t>
  </si>
  <si>
    <t xml:space="preserve">Dotacional </t>
  </si>
  <si>
    <t xml:space="preserve">AREA PARA LA CONSERVACIÓN IN SITU </t>
  </si>
  <si>
    <t>Subzona de manejo y uso de importancia ambiental del POMCA rio Bogotá</t>
  </si>
  <si>
    <t>Lo establecido por el POMCA del rio Bogotá, Resolución CAR 957 de 2019</t>
  </si>
  <si>
    <t>ACTIVIDADES CONEXAS AL USO</t>
  </si>
  <si>
    <t>SUBZONA DE IMPORTANCIA AMBIENTAL DEL POMCA RIO BOGOTÁ</t>
  </si>
  <si>
    <t>Medidas estructurales de reducción del riesgo</t>
  </si>
  <si>
    <t>Aprovechamiento de los frutos secundarios del bosque</t>
  </si>
  <si>
    <t>Medidas estructurales de reducción del riesgo 
Obras para el mantenimiento, adaptación y recuperación de las funciones ecosistémicas – caudales</t>
  </si>
  <si>
    <t>Parques de Borde - Zona Áreas de uso, goce y disfrute</t>
  </si>
  <si>
    <t xml:space="preserve">Parques de Borde - Zona Áreas de Conservación y Restauración </t>
  </si>
  <si>
    <t xml:space="preserve">Parques de Borde - Zona Articulación Urbana y Restablecimiento </t>
  </si>
  <si>
    <t xml:space="preserve">La reglamentación se define en el sistema de espacio de público </t>
  </si>
  <si>
    <t>AREAS DE IMPORTANCIA ECOSISTEMICA</t>
  </si>
  <si>
    <t>REGÍMENES DE USOS PROPUESTA POT 2021</t>
  </si>
  <si>
    <t xml:space="preserve">COMPATIBLE </t>
  </si>
  <si>
    <t>AREAS COMPLEMENTARIAS PARA LA CONSERVACIÓN</t>
  </si>
  <si>
    <t>N/A</t>
  </si>
  <si>
    <t xml:space="preserve"> Áreas de Resiliencia Climática </t>
  </si>
  <si>
    <t>Protección Integral de los recursos naturales</t>
  </si>
  <si>
    <t xml:space="preserve">Páramo y Subpáramo </t>
  </si>
  <si>
    <t xml:space="preserve">Áreas periféricas a nacimientos, cauces de ríos, quebradas arroyos, lagos, lagunas, ciénagas, pantanos, embalses y humedales en general </t>
  </si>
  <si>
    <t xml:space="preserve">Conservación de suelos
Restauración de la vegetación adecuada para la protección de los mismos </t>
  </si>
  <si>
    <t>Recreación pasiva o Contemplativa</t>
  </si>
  <si>
    <t>Agropecuarios
Industriales
urbanos  y suburbanos 
loteo y construcción de vivienda 
Minería
disposición de residuos sólidos 
Tala y rocería de la vegetación.</t>
  </si>
  <si>
    <t>Forestal Protector con especies nativas</t>
  </si>
  <si>
    <t>Conservación e investigación controlada.</t>
  </si>
  <si>
    <t>Educación dirigida recreación pasiva y cultural.</t>
  </si>
  <si>
    <t>Recuperación y control para la restauración total o parcial</t>
  </si>
  <si>
    <t>Áreas de Sistema de Parques Nacionales Naturales</t>
  </si>
  <si>
    <t>Áreas Forestales Protectoras</t>
  </si>
  <si>
    <t>Infraestructura básica para el establecimiento de los usos compatibles.
Aprovechamiento persistentes de productos forestales secundarios.</t>
  </si>
  <si>
    <t>Áreas Forestales Protectoras - Productoras</t>
  </si>
  <si>
    <t>Conservación
Establecimiento Forestal</t>
  </si>
  <si>
    <t>Silvicultura
Aprovechamiento sostenible de especies forestales
Establecimiento de infraestructura para los usos compatibles</t>
  </si>
  <si>
    <t>Agropecuarios
Minería
Industria
Urbanización
Tala
Pesca</t>
  </si>
  <si>
    <t xml:space="preserve">Restauración de ecosistemas.
Recuperación de ecosistemas.
Rehabilitación de ecosistemas.
</t>
  </si>
  <si>
    <t>Agroecología bajo los lineamientos de la Resolución 886 de 2018
Aprovechamiento de productos secundarios del bosque</t>
  </si>
  <si>
    <t>Obras para el mantenimiento, adaptación y recuperación de las funciones ecosistémicas – caudales</t>
  </si>
  <si>
    <t>Dotacional</t>
  </si>
  <si>
    <t xml:space="preserve">Actividad de disfrute ambiental y conservación
Agroecología
Aprovechamiento de frutos secundarios del bosque
</t>
  </si>
  <si>
    <t>COMPATIBLE</t>
  </si>
  <si>
    <t>AREAS DE RESILIENCIA CLIMATICA</t>
  </si>
  <si>
    <t>Agricultura urbana y periurbana</t>
  </si>
  <si>
    <t>Medidas de reducción del Riesgo y obras para el mantenimiento
Adaptación y recuperación de las funciones ecosistémicas – caudales.</t>
  </si>
  <si>
    <t>Parques contemplativos de la Red Estructurante</t>
  </si>
  <si>
    <t>Todas las actividades que no se encuentran en los usos principales o compatibles o condicionados</t>
  </si>
  <si>
    <t xml:space="preserve"> HOMOLOGO ACUERDO CAR 16 DE 1998</t>
  </si>
  <si>
    <t>ELEMENTO PRESENTE PLAN</t>
  </si>
  <si>
    <t>REGÍMENES DE USOS  ACUERDO CAR 16 DE 1998</t>
  </si>
  <si>
    <t>Lo determina el Plan de Manejo Ambiental, por el momento la Ley 1930 de 2018 y la Resolución 886 de 2018 de MinAmbiente entrega los lineamientos de manejo. Se homologan los usos hasta que se adopten los respectivos planes de manejo así:</t>
  </si>
  <si>
    <t>Recreación Contemplativa
Rehabilitación Ecológica
Investigación Controlada</t>
  </si>
  <si>
    <t>Agropecuarios Tradicionales bajo régimen de gradualidad hasta la prohibición en un máximo de tres (3)
Aprovechamiento persistente de productos forestales secundarios para cuya obtención no se requiere cortar los árboles, arbustos o plantas.
Infraestructura básica para los usos compatibles, vías y captación de acueductos.</t>
  </si>
  <si>
    <t>Agropecuarios intensivos
Industriales 
Minería
Urbanizaciones Institucionales
Otros usos y actividades, como la quema, tala y casa que ocasione deterioro ambiental</t>
  </si>
  <si>
    <t>Captación de aguas o incorporación de vertimientos siempre y cuando no afecten el cuerpo de agua n se realice sobre los nacimientos.
Construcción de infraestructura de apoyo para actividades de recreación, embarcaderos, puentes y obras de adecuación, desagüe de instalaciones de acuicultura y extracción de material de arrastre.</t>
  </si>
  <si>
    <t>Cuerpos hídricos naturales - Áreas  de Recarga de Acuíferos</t>
  </si>
  <si>
    <t xml:space="preserve">Áreas de Infiltración para la recarga de acuíferos </t>
  </si>
  <si>
    <t>Actividades agrosilviculturales y recreación contemplativa y vivienda campesina con máximo de ocupación del 5%</t>
  </si>
  <si>
    <t>Infraestructura Vial
Institucionales 
Equipamientos
Comunitarios
Aprovechamiento de Especies nativas</t>
  </si>
  <si>
    <t>Plantación de bosques de especies foráneas
Explotación agropecuarias bajo invernadero
Parcelaciones con fines de construcción de vivienda
Zonas de Expansión urbana.
Extracción de materiales.
Aprovechamiento Forestal de Especies Nativas.</t>
  </si>
  <si>
    <t>Cualquier intervención deberá contar con concepto de la autoridad ambiental competente donde se deberá evaluar las función ecosistémica del cuerpo hídricos artificial.</t>
  </si>
  <si>
    <t>Parques de Borde - Cerros Orientales (Áreas de Ocupación Publico Prioritaria de la Franja de Adecuación)</t>
  </si>
  <si>
    <t>Parque Natural Nacional Sumapaz</t>
  </si>
  <si>
    <t xml:space="preserve">Los regímenes de uso se definen en el PMA,  la  Resolución 032 de 2007 expedida por la Unidad Administrativa Especial de Parques Nacionales Naturales de Colombia. </t>
  </si>
  <si>
    <t>Introducción de especies animales o vegetales exóticas.
Vertimientos y uso de sustancias tóxicas o químico de efectos residuales.
Los demás usos establecidos en el respectivo acto administrativo, cuya dependencia a cargo es la Unidad de Parques Nacionales del Ministerio del Medio Ambiente.</t>
  </si>
  <si>
    <t>Los  regímenes de uso se define en el PMA, Resolución 1766 de 2016 expedida por el Ministerio de Ambiente y Desarrollo Sostenible.</t>
  </si>
  <si>
    <t>Agropecuarios
Industriales
Urbanísticos
Minería
Institucionales
Actividades como tala, quemas, caza y pesca</t>
  </si>
  <si>
    <t>Los regímenes de uso se definen en la Resolución 206 de 2003 Reserva expedidas por Parques Nacionales Naturales de Colombia. De presentarse sobreposición con áreas protegidas de mayor jerarquía, prevalecerá el Plan de Manejo Ambiental de la respectiva área de superior jerarquía.</t>
  </si>
  <si>
    <t>Los regímenes de uso se definen en la Resolución 271 de 2008  expedidas por Parques Nacionales Naturales de Colombia. De presentarse sobreposición con áreas protegidas de mayor jerarquía, prevalecerá el Plan de Manejo Ambiental de la respectiva área de superior jerarquía.</t>
  </si>
  <si>
    <t>Los  regímenes de uso se define en el PMA, por el momento la Resolución 138 de 2014 expedida por el Ministerio de Ambiente y Desarrollo Sostenible especifica los lineamientos de manejo</t>
  </si>
  <si>
    <t>Los regímenes de uso se definen en el PMA.  Acuerdo CAR 21 de 2014.</t>
  </si>
  <si>
    <t>Captación de aguas o incorporación de vertimientos siempre y cuando no afecten el cuerpo de agua n se realice sobre los nacimientos.
Construcción de infraestructura de apoyo para actividades de recreación, embarcaderos, puentes y obras de adecuación, desagüe de instalaciones de acuicultura y extracción de material de arrastré.</t>
  </si>
  <si>
    <t>PARALELO DEFINICIÓN DE USOS DE LA EPP DEL PRESENTE PLAN DE ORDENAMIENTO TERRITORIAL DE BOGOTA VS ACUERDO CAR 16 DE 1998</t>
  </si>
  <si>
    <t>Agricultura urbana y periurbana.
Actividades agroecológicas.
Ecoturismo. 
Forestal productor.
Viverismo.
Actividad de contemplación, observación y conservación</t>
  </si>
  <si>
    <t>Ecoturismo.
Viverismo.
Agricultura urbana y periurbana.
Actividad de contemplación, observación y conservación</t>
  </si>
  <si>
    <t>Viverismo.
Ecoturismo.
Actividad de contemplación, observación y conservación</t>
  </si>
  <si>
    <t>Actividad de contemplación, observación y conservación</t>
  </si>
  <si>
    <t>Ecoturismo
Agricultura urbana y periurbana
Actividades recreativas
Actividades deportivas.</t>
  </si>
  <si>
    <t>Ecoturismo.
Actividad de contemplación, observación y conservación.
Actividades recreativas .</t>
  </si>
  <si>
    <t>Ecoturismo.
Actividad de contemplación, observación y conservación.
Actividades recreativas .
Actividades relacionadas con la prestación de servicios públicos.</t>
  </si>
  <si>
    <t>Viverismo.
Agricultura urbana y periurbana. Agroecología.
Actividad de contemplación, observación y conservación
Actividades recreativas.
Actividades relacionadas con la prestación de servicios públicos.</t>
  </si>
  <si>
    <t>Actividad de contemplación, observación y conservación
Actividades Recreativas.
Ecoturismo.
Agricultura urbana y periurbana.
Aprovechamiento de frutos secundarios del bosque.
Actividades relacionadas con la prestación de servicios públicos.</t>
  </si>
  <si>
    <t>Actividades relacionadas con la prestación de servicios públicos.</t>
  </si>
  <si>
    <t xml:space="preserve">Reserva Forestal Protectora Productora de la Cuenca Alta del Rio Bogotá </t>
  </si>
  <si>
    <t>Conservación de flora y recursos conexos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</si>
</sst>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entury Gothic"/>
      <family val="2"/>
    </font>
    <font>
      <b/>
      <sz val="11"/>
      <color theme="1"/>
      <name val="Century Gothic"/>
      <family val="2"/>
    </font>
    <font>
      <b/>
      <sz val="20"/>
      <color theme="1"/>
      <name val="Century Gothic"/>
      <family val="2"/>
    </font>
  </fonts>
  <fills count="12">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99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3"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142">
    <xf numFmtId="0" fontId="0" fillId="0" borderId="0" xfId="0"/>
    <xf numFmtId="0" fontId="0" fillId="0" borderId="1" xfId="0" applyBorder="1"/>
    <xf numFmtId="0" fontId="0" fillId="0" borderId="1" xfId="0" applyBorder="1" applyAlignment="1">
      <alignment horizontal="center"/>
    </xf>
    <xf numFmtId="0" fontId="0" fillId="0" borderId="0" xfId="0" applyAlignment="1">
      <alignment horizontal="center"/>
    </xf>
    <xf numFmtId="0" fontId="0" fillId="0" borderId="1" xfId="0" applyFill="1" applyBorder="1"/>
    <xf numFmtId="0" fontId="0" fillId="0" borderId="4" xfId="0" applyFill="1" applyBorder="1"/>
    <xf numFmtId="0" fontId="0" fillId="0" borderId="2" xfId="0" applyBorder="1" applyAlignment="1">
      <alignment horizontal="center"/>
    </xf>
    <xf numFmtId="0" fontId="0" fillId="0" borderId="6" xfId="0" applyBorder="1"/>
    <xf numFmtId="0" fontId="0" fillId="0" borderId="0" xfId="0" applyAlignment="1">
      <alignment vertical="center"/>
    </xf>
    <xf numFmtId="0" fontId="0" fillId="0" borderId="1" xfId="0" applyBorder="1" applyAlignment="1">
      <alignment horizontal="center" vertical="center"/>
    </xf>
    <xf numFmtId="0" fontId="0" fillId="0" borderId="6" xfId="0" applyFill="1" applyBorder="1"/>
    <xf numFmtId="0" fontId="0" fillId="0" borderId="1" xfId="0" applyBorder="1" applyAlignment="1">
      <alignment wrapText="1"/>
    </xf>
    <xf numFmtId="0" fontId="0" fillId="0" borderId="1" xfId="0" applyBorder="1" applyAlignment="1">
      <alignment horizontal="justify" vertical="center" wrapText="1"/>
    </xf>
    <xf numFmtId="0" fontId="0" fillId="0" borderId="0" xfId="0" applyBorder="1" applyAlignment="1">
      <alignment horizontal="justify"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0" xfId="0" applyBorder="1" applyAlignment="1">
      <alignment horizontal="center"/>
    </xf>
    <xf numFmtId="164" fontId="0" fillId="0" borderId="1" xfId="0" applyNumberFormat="1" applyBorder="1"/>
    <xf numFmtId="164" fontId="0" fillId="2" borderId="1" xfId="0" applyNumberFormat="1" applyFill="1" applyBorder="1"/>
    <xf numFmtId="0" fontId="0" fillId="0" borderId="0" xfId="0" applyAlignment="1">
      <alignment horizontal="right" wrapText="1"/>
    </xf>
    <xf numFmtId="0" fontId="0" fillId="0" borderId="1" xfId="0" applyBorder="1" applyAlignment="1">
      <alignment horizontal="right" wrapText="1"/>
    </xf>
    <xf numFmtId="0" fontId="0" fillId="3" borderId="1" xfId="0" applyFill="1" applyBorder="1"/>
    <xf numFmtId="0" fontId="0" fillId="0" borderId="1" xfId="0" applyBorder="1" applyAlignment="1">
      <alignment horizontal="justify" vertical="justify" wrapText="1"/>
    </xf>
    <xf numFmtId="164" fontId="0" fillId="0" borderId="1" xfId="0" applyNumberFormat="1" applyFill="1" applyBorder="1"/>
    <xf numFmtId="0" fontId="0" fillId="0" borderId="1" xfId="0" applyFill="1" applyBorder="1" applyAlignment="1">
      <alignment horizontal="right" wrapText="1"/>
    </xf>
    <xf numFmtId="0" fontId="0" fillId="3" borderId="1" xfId="0" applyFill="1" applyBorder="1" applyAlignment="1">
      <alignment horizontal="right" wrapText="1"/>
    </xf>
    <xf numFmtId="164" fontId="0" fillId="3" borderId="1" xfId="0" applyNumberFormat="1" applyFill="1" applyBorder="1"/>
    <xf numFmtId="0" fontId="0" fillId="0" borderId="1" xfId="0" applyFill="1" applyBorder="1" applyAlignment="1">
      <alignment horizontal="center"/>
    </xf>
    <xf numFmtId="0" fontId="0" fillId="0" borderId="1" xfId="0" applyFill="1" applyBorder="1" applyAlignment="1">
      <alignment horizontal="center" vertical="center" wrapText="1"/>
    </xf>
    <xf numFmtId="0" fontId="0" fillId="0" borderId="1" xfId="0" applyBorder="1" applyAlignment="1">
      <alignment horizontal="justify" vertical="center"/>
    </xf>
    <xf numFmtId="0" fontId="0" fillId="4" borderId="1" xfId="0" applyFill="1" applyBorder="1"/>
    <xf numFmtId="0" fontId="0" fillId="5" borderId="1" xfId="0" applyFill="1" applyBorder="1"/>
    <xf numFmtId="0" fontId="0" fillId="0" borderId="0" xfId="0" applyAlignment="1">
      <alignment horizontal="justify" vertical="center" wrapText="1"/>
    </xf>
    <xf numFmtId="0" fontId="0" fillId="9" borderId="1" xfId="0" applyFill="1" applyBorder="1" applyAlignment="1">
      <alignment vertical="center" wrapText="1"/>
    </xf>
    <xf numFmtId="0" fontId="0" fillId="0" borderId="0" xfId="0" applyAlignment="1">
      <alignment wrapText="1"/>
    </xf>
    <xf numFmtId="0" fontId="0" fillId="9" borderId="1" xfId="0" applyFill="1" applyBorder="1" applyAlignment="1">
      <alignment horizontal="left" vertical="center" wrapText="1"/>
    </xf>
    <xf numFmtId="0" fontId="0" fillId="6" borderId="1" xfId="0" applyFill="1" applyBorder="1" applyAlignment="1">
      <alignment vertical="center"/>
    </xf>
    <xf numFmtId="0" fontId="1" fillId="6" borderId="1" xfId="0" applyFont="1" applyFill="1" applyBorder="1" applyAlignment="1">
      <alignment horizontal="center"/>
    </xf>
    <xf numFmtId="0" fontId="1" fillId="6" borderId="1" xfId="0" applyFont="1" applyFill="1" applyBorder="1" applyAlignment="1"/>
    <xf numFmtId="0" fontId="0" fillId="9" borderId="1" xfId="0" applyFill="1" applyBorder="1" applyAlignment="1">
      <alignment horizontal="justify" vertical="center" wrapText="1"/>
    </xf>
    <xf numFmtId="0" fontId="0" fillId="6" borderId="1" xfId="0" applyFill="1" applyBorder="1" applyAlignment="1">
      <alignment vertical="center" wrapText="1"/>
    </xf>
    <xf numFmtId="0" fontId="0" fillId="8" borderId="1" xfId="0" applyFill="1" applyBorder="1" applyAlignment="1">
      <alignment vertical="center" wrapText="1"/>
    </xf>
    <xf numFmtId="0" fontId="0" fillId="6" borderId="1" xfId="0" applyFill="1" applyBorder="1" applyAlignment="1">
      <alignment horizontal="left" vertical="center" wrapText="1"/>
    </xf>
    <xf numFmtId="0" fontId="0" fillId="6" borderId="1" xfId="0" applyFill="1" applyBorder="1" applyAlignment="1">
      <alignment wrapText="1"/>
    </xf>
    <xf numFmtId="0" fontId="0" fillId="10" borderId="1" xfId="0" applyFill="1" applyBorder="1" applyAlignment="1">
      <alignment horizontal="justify" vertical="center" wrapText="1"/>
    </xf>
    <xf numFmtId="0" fontId="0" fillId="6" borderId="3" xfId="0" applyFill="1" applyBorder="1" applyAlignment="1">
      <alignment vertical="center"/>
    </xf>
    <xf numFmtId="0" fontId="0" fillId="9" borderId="1" xfId="0" applyFill="1" applyBorder="1" applyAlignment="1">
      <alignment horizontal="left" vertical="center" wrapText="1"/>
    </xf>
    <xf numFmtId="0" fontId="0" fillId="6" borderId="3" xfId="0" applyFill="1" applyBorder="1" applyAlignment="1">
      <alignment horizontal="justify" vertical="center"/>
    </xf>
    <xf numFmtId="0" fontId="0" fillId="6" borderId="1" xfId="0" applyFill="1" applyBorder="1" applyAlignment="1">
      <alignment horizontal="justify" vertical="center" wrapText="1"/>
    </xf>
    <xf numFmtId="0" fontId="0" fillId="10" borderId="3" xfId="0" applyFill="1" applyBorder="1" applyAlignment="1">
      <alignment horizontal="left" vertical="center" wrapText="1"/>
    </xf>
    <xf numFmtId="0" fontId="0" fillId="10" borderId="5" xfId="0" applyFill="1" applyBorder="1" applyAlignment="1">
      <alignment horizontal="left" vertical="center" wrapText="1"/>
    </xf>
    <xf numFmtId="0" fontId="0" fillId="6" borderId="3" xfId="0" applyFill="1" applyBorder="1" applyAlignment="1">
      <alignment horizontal="justify" vertical="center" wrapText="1"/>
    </xf>
    <xf numFmtId="0" fontId="0" fillId="6" borderId="1" xfId="0" applyFill="1" applyBorder="1" applyAlignment="1">
      <alignment horizontal="justify" vertical="center"/>
    </xf>
    <xf numFmtId="0" fontId="0" fillId="6" borderId="1" xfId="0" applyFill="1" applyBorder="1" applyAlignment="1">
      <alignment horizontal="left" vertical="center"/>
    </xf>
    <xf numFmtId="0" fontId="0" fillId="6" borderId="3" xfId="0" applyFont="1" applyFill="1" applyBorder="1" applyAlignment="1">
      <alignment vertical="center" wrapText="1"/>
    </xf>
    <xf numFmtId="0" fontId="0" fillId="6" borderId="1" xfId="0" applyFill="1" applyBorder="1" applyAlignment="1">
      <alignment horizontal="left" vertical="top" wrapText="1"/>
    </xf>
    <xf numFmtId="0" fontId="0" fillId="9" borderId="1" xfId="0" applyFill="1" applyBorder="1" applyAlignment="1">
      <alignment horizontal="left" vertical="center" wrapText="1"/>
    </xf>
    <xf numFmtId="0" fontId="0" fillId="6" borderId="1" xfId="0" applyFill="1" applyBorder="1" applyAlignment="1">
      <alignment horizontal="left" vertical="center"/>
    </xf>
    <xf numFmtId="0" fontId="0" fillId="6" borderId="1" xfId="0" applyFill="1" applyBorder="1" applyAlignment="1">
      <alignment horizontal="left" vertical="center" wrapText="1"/>
    </xf>
    <xf numFmtId="0" fontId="0" fillId="7" borderId="3" xfId="0" applyFill="1" applyBorder="1" applyAlignment="1">
      <alignment horizontal="left" vertical="center" wrapText="1"/>
    </xf>
    <xf numFmtId="0" fontId="0" fillId="7" borderId="4" xfId="0" applyFill="1" applyBorder="1" applyAlignment="1">
      <alignment horizontal="left" vertical="center" wrapText="1"/>
    </xf>
    <xf numFmtId="0" fontId="0" fillId="8" borderId="1" xfId="0" applyFill="1" applyBorder="1" applyAlignment="1">
      <alignment horizontal="left" vertical="center" wrapText="1"/>
    </xf>
    <xf numFmtId="0" fontId="0" fillId="6" borderId="1" xfId="0" applyFill="1" applyBorder="1" applyAlignment="1">
      <alignment horizontal="justify" vertical="center" wrapText="1"/>
    </xf>
    <xf numFmtId="0" fontId="0" fillId="8" borderId="3" xfId="0" applyFill="1" applyBorder="1" applyAlignment="1">
      <alignment horizontal="justify" vertical="center" wrapText="1"/>
    </xf>
    <xf numFmtId="0" fontId="0" fillId="8" borderId="5" xfId="0" applyFill="1" applyBorder="1" applyAlignment="1">
      <alignment horizontal="justify" vertical="center" wrapText="1"/>
    </xf>
    <xf numFmtId="0" fontId="1" fillId="7" borderId="1" xfId="0" applyFont="1" applyFill="1" applyBorder="1" applyAlignment="1">
      <alignment horizontal="center" vertical="center"/>
    </xf>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6" borderId="2" xfId="0" applyFont="1" applyFill="1" applyBorder="1" applyAlignment="1">
      <alignment horizontal="center"/>
    </xf>
    <xf numFmtId="0" fontId="1" fillId="6" borderId="8" xfId="0" applyFont="1" applyFill="1" applyBorder="1" applyAlignment="1">
      <alignment horizontal="center"/>
    </xf>
    <xf numFmtId="0" fontId="1" fillId="6" borderId="6" xfId="0" applyFont="1" applyFill="1" applyBorder="1" applyAlignment="1">
      <alignment horizontal="center"/>
    </xf>
    <xf numFmtId="0" fontId="1" fillId="9" borderId="3" xfId="0" applyFont="1" applyFill="1" applyBorder="1" applyAlignment="1">
      <alignment vertical="center" wrapText="1"/>
    </xf>
    <xf numFmtId="0" fontId="1" fillId="9" borderId="4" xfId="0" applyFont="1" applyFill="1" applyBorder="1" applyAlignment="1">
      <alignment vertical="center" wrapText="1"/>
    </xf>
    <xf numFmtId="0" fontId="1" fillId="9" borderId="5" xfId="0" applyFont="1" applyFill="1" applyBorder="1" applyAlignment="1">
      <alignment vertical="center" wrapText="1"/>
    </xf>
    <xf numFmtId="0" fontId="0" fillId="9" borderId="3" xfId="0" applyFill="1" applyBorder="1" applyAlignment="1">
      <alignment horizontal="left" vertical="center" wrapText="1"/>
    </xf>
    <xf numFmtId="0" fontId="0" fillId="9" borderId="4" xfId="0" applyFill="1" applyBorder="1" applyAlignment="1">
      <alignment horizontal="left" vertical="center" wrapText="1"/>
    </xf>
    <xf numFmtId="0" fontId="0" fillId="6" borderId="2" xfId="0" applyFill="1" applyBorder="1" applyAlignment="1">
      <alignment horizontal="left" vertical="center"/>
    </xf>
    <xf numFmtId="0" fontId="0" fillId="6" borderId="6" xfId="0" applyFill="1" applyBorder="1" applyAlignment="1">
      <alignment horizontal="left" vertical="center"/>
    </xf>
    <xf numFmtId="0" fontId="0" fillId="6" borderId="3" xfId="0" applyFill="1" applyBorder="1" applyAlignment="1">
      <alignment horizontal="justify" vertical="center"/>
    </xf>
    <xf numFmtId="0" fontId="0" fillId="6" borderId="4" xfId="0" applyFill="1" applyBorder="1" applyAlignment="1">
      <alignment horizontal="justify" vertical="center"/>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8" borderId="1" xfId="0" applyFill="1" applyBorder="1" applyAlignment="1">
      <alignment horizontal="justify" vertical="center" wrapText="1"/>
    </xf>
    <xf numFmtId="0" fontId="0" fillId="6" borderId="1" xfId="0" applyFill="1" applyBorder="1" applyAlignment="1">
      <alignment horizontal="left"/>
    </xf>
    <xf numFmtId="0" fontId="0" fillId="9" borderId="5" xfId="0" applyFill="1" applyBorder="1" applyAlignment="1">
      <alignment horizontal="left" vertical="center" wrapText="1"/>
    </xf>
    <xf numFmtId="0" fontId="0" fillId="6" borderId="2" xfId="0" applyFill="1" applyBorder="1" applyAlignment="1">
      <alignment horizontal="left"/>
    </xf>
    <xf numFmtId="0" fontId="0" fillId="6" borderId="6" xfId="0" applyFill="1" applyBorder="1" applyAlignment="1">
      <alignment horizontal="left"/>
    </xf>
    <xf numFmtId="0" fontId="0" fillId="6" borderId="3" xfId="0" applyFill="1" applyBorder="1" applyAlignment="1">
      <alignment horizontal="justify" vertical="center" wrapText="1"/>
    </xf>
    <xf numFmtId="0" fontId="0" fillId="6" borderId="4" xfId="0" applyFill="1" applyBorder="1" applyAlignment="1">
      <alignment horizontal="justify" vertical="center" wrapText="1"/>
    </xf>
    <xf numFmtId="0" fontId="0" fillId="6" borderId="5" xfId="0" applyFill="1" applyBorder="1" applyAlignment="1">
      <alignment horizontal="justify" vertical="center" wrapText="1"/>
    </xf>
    <xf numFmtId="0" fontId="0" fillId="6" borderId="1" xfId="0" applyFill="1" applyBorder="1" applyAlignment="1">
      <alignment horizontal="justify" vertical="center"/>
    </xf>
    <xf numFmtId="0" fontId="0" fillId="9" borderId="3" xfId="0" applyFill="1" applyBorder="1" applyAlignment="1">
      <alignment vertical="center" wrapText="1"/>
    </xf>
    <xf numFmtId="0" fontId="0" fillId="9" borderId="4" xfId="0" applyFill="1" applyBorder="1" applyAlignment="1">
      <alignment vertical="center" wrapText="1"/>
    </xf>
    <xf numFmtId="0" fontId="1" fillId="10" borderId="1" xfId="0" applyFont="1" applyFill="1" applyBorder="1" applyAlignment="1">
      <alignment horizontal="center" vertical="center" wrapText="1"/>
    </xf>
    <xf numFmtId="0" fontId="0" fillId="6" borderId="1" xfId="0" applyFont="1" applyFill="1" applyBorder="1" applyAlignment="1">
      <alignment horizontal="justify" vertical="center" wrapText="1"/>
    </xf>
    <xf numFmtId="0" fontId="1" fillId="10" borderId="3"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0" fillId="10" borderId="1" xfId="0" applyFill="1" applyBorder="1" applyAlignment="1">
      <alignment horizontal="justify" vertical="center" wrapText="1"/>
    </xf>
    <xf numFmtId="0" fontId="0" fillId="10" borderId="1" xfId="0" applyFill="1" applyBorder="1" applyAlignment="1">
      <alignment horizontal="left" vertical="center" wrapText="1"/>
    </xf>
    <xf numFmtId="0" fontId="0" fillId="10" borderId="3" xfId="0" applyFill="1" applyBorder="1" applyAlignment="1">
      <alignment horizontal="left" vertical="center" wrapText="1"/>
    </xf>
    <xf numFmtId="0" fontId="0" fillId="10" borderId="4" xfId="0" applyFill="1" applyBorder="1" applyAlignment="1">
      <alignment horizontal="left" vertical="center" wrapText="1"/>
    </xf>
    <xf numFmtId="0" fontId="0" fillId="10" borderId="5" xfId="0" applyFill="1" applyBorder="1" applyAlignment="1">
      <alignment horizontal="left" vertical="center" wrapText="1"/>
    </xf>
    <xf numFmtId="0" fontId="0" fillId="9" borderId="1" xfId="0" applyFill="1" applyBorder="1" applyAlignment="1">
      <alignment horizontal="left" vertical="center" wrapText="1"/>
    </xf>
    <xf numFmtId="0" fontId="0" fillId="7" borderId="1" xfId="0" applyFill="1" applyBorder="1" applyAlignment="1">
      <alignment horizontal="center" vertical="center" wrapText="1"/>
    </xf>
    <xf numFmtId="0" fontId="0" fillId="9" borderId="1" xfId="0" applyFill="1" applyBorder="1" applyAlignment="1">
      <alignment horizontal="center" vertical="center" wrapText="1"/>
    </xf>
    <xf numFmtId="0" fontId="0" fillId="6" borderId="1" xfId="0" applyFill="1" applyBorder="1" applyAlignment="1">
      <alignment vertical="center" wrapText="1"/>
    </xf>
    <xf numFmtId="0" fontId="0" fillId="6" borderId="1" xfId="0" applyFill="1" applyBorder="1" applyAlignment="1">
      <alignment horizontal="left" vertical="center"/>
    </xf>
    <xf numFmtId="0" fontId="0" fillId="9" borderId="1" xfId="0" applyFill="1" applyBorder="1" applyAlignment="1">
      <alignment vertical="center" wrapText="1"/>
    </xf>
    <xf numFmtId="0" fontId="0" fillId="6" borderId="1" xfId="0" applyFill="1" applyBorder="1" applyAlignment="1">
      <alignment vertical="center"/>
    </xf>
    <xf numFmtId="0" fontId="0" fillId="6" borderId="3" xfId="0" applyFill="1" applyBorder="1" applyAlignment="1">
      <alignment horizontal="center" vertical="center"/>
    </xf>
    <xf numFmtId="0" fontId="0" fillId="6" borderId="5" xfId="0" applyFill="1" applyBorder="1" applyAlignment="1">
      <alignment horizontal="center" vertical="center"/>
    </xf>
    <xf numFmtId="0" fontId="0" fillId="6" borderId="1" xfId="0" applyFill="1" applyBorder="1" applyAlignment="1">
      <alignment horizontal="justify" vertical="top" wrapText="1"/>
    </xf>
    <xf numFmtId="0" fontId="0" fillId="6" borderId="2" xfId="0" applyFill="1" applyBorder="1" applyAlignment="1">
      <alignment horizontal="justify" vertical="center" wrapText="1"/>
    </xf>
    <xf numFmtId="0" fontId="0" fillId="6" borderId="8" xfId="0" applyFill="1" applyBorder="1" applyAlignment="1">
      <alignment horizontal="justify" vertical="center" wrapText="1"/>
    </xf>
    <xf numFmtId="0" fontId="0" fillId="6" borderId="6" xfId="0" applyFill="1" applyBorder="1" applyAlignment="1">
      <alignment horizontal="justify" vertical="center" wrapText="1"/>
    </xf>
    <xf numFmtId="0" fontId="0" fillId="8" borderId="3" xfId="0" applyFill="1" applyBorder="1" applyAlignment="1">
      <alignment horizontal="left" vertical="center" wrapText="1"/>
    </xf>
    <xf numFmtId="0" fontId="0" fillId="8" borderId="4" xfId="0" applyFill="1" applyBorder="1" applyAlignment="1">
      <alignment horizontal="left" vertical="center" wrapText="1"/>
    </xf>
    <xf numFmtId="0" fontId="0" fillId="6" borderId="1" xfId="0" applyFill="1" applyBorder="1" applyAlignment="1">
      <alignment horizontal="left" vertical="center" wrapText="1"/>
    </xf>
    <xf numFmtId="0" fontId="0" fillId="7" borderId="9" xfId="0" applyFill="1" applyBorder="1" applyAlignment="1">
      <alignment horizontal="left" vertical="center" wrapText="1"/>
    </xf>
    <xf numFmtId="0" fontId="0" fillId="7" borderId="10" xfId="0" applyFill="1" applyBorder="1" applyAlignment="1">
      <alignment horizontal="left" vertical="center" wrapText="1"/>
    </xf>
    <xf numFmtId="0" fontId="2" fillId="11" borderId="1" xfId="0" applyFont="1" applyFill="1" applyBorder="1" applyAlignment="1">
      <alignment horizontal="center"/>
    </xf>
    <xf numFmtId="0" fontId="0" fillId="8" borderId="3" xfId="0" applyFill="1" applyBorder="1" applyAlignment="1">
      <alignment horizontal="left"/>
    </xf>
    <xf numFmtId="0" fontId="0" fillId="8" borderId="5" xfId="0" applyFill="1" applyBorder="1" applyAlignment="1">
      <alignment horizontal="left"/>
    </xf>
    <xf numFmtId="0" fontId="0" fillId="6" borderId="1" xfId="0" applyFill="1" applyBorder="1" applyAlignment="1">
      <alignment horizontal="center" vertical="center"/>
    </xf>
    <xf numFmtId="0" fontId="0" fillId="6" borderId="1" xfId="0" applyFill="1" applyBorder="1" applyAlignment="1">
      <alignment horizontal="left" wrapText="1"/>
    </xf>
    <xf numFmtId="0" fontId="0" fillId="0" borderId="7" xfId="0" applyBorder="1" applyAlignment="1">
      <alignment horizontal="center"/>
    </xf>
    <xf numFmtId="0" fontId="0" fillId="0" borderId="1" xfId="0" applyBorder="1" applyAlignment="1">
      <alignment horizontal="left"/>
    </xf>
    <xf numFmtId="0" fontId="0" fillId="0" borderId="1" xfId="0" applyBorder="1" applyAlignment="1">
      <alignment horizontal="center" vertical="center"/>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Fill="1" applyBorder="1" applyAlignment="1">
      <alignment horizontal="left"/>
    </xf>
    <xf numFmtId="0" fontId="0" fillId="0" borderId="4" xfId="0" applyFill="1" applyBorder="1" applyAlignment="1">
      <alignment horizontal="left"/>
    </xf>
    <xf numFmtId="0" fontId="0" fillId="0" borderId="5" xfId="0" applyFill="1" applyBorder="1" applyAlignment="1">
      <alignment horizontal="left"/>
    </xf>
    <xf numFmtId="0" fontId="0" fillId="0" borderId="1" xfId="0" applyFill="1" applyBorder="1" applyAlignment="1">
      <alignment horizontal="left"/>
    </xf>
  </cellXfs>
  <cellStyles count="1">
    <cellStyle name="Normal" xfId="0" builtinId="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46"/>
  <sheetViews>
    <sheetView tabSelected="1" topLeftCell="G6" zoomScale="78" zoomScaleNormal="78" workbookViewId="0">
      <selection activeCell="L9" sqref="L9"/>
    </sheetView>
  </sheetViews>
  <sheetFormatPr baseColWidth="10" defaultColWidth="11.625" defaultRowHeight="16.5" x14ac:dyDescent="0.3"/>
  <cols>
    <col min="1" max="1" width="37.625" customWidth="1"/>
    <col min="2" max="2" width="49.5" customWidth="1"/>
    <col min="3" max="3" width="50.5" style="34" customWidth="1"/>
    <col min="4" max="4" width="33.5" style="34" customWidth="1"/>
    <col min="5" max="5" width="14.625" customWidth="1"/>
    <col min="6" max="6" width="30.75" customWidth="1"/>
    <col min="7" max="7" width="15.875" customWidth="1"/>
    <col min="8" max="8" width="39.875" customWidth="1"/>
    <col min="9" max="9" width="15.625" customWidth="1"/>
    <col min="10" max="10" width="40.125" customWidth="1"/>
    <col min="11" max="11" width="26.125" customWidth="1"/>
    <col min="12" max="12" width="34.125" style="32" customWidth="1"/>
    <col min="13" max="13" width="37" style="32" customWidth="1"/>
    <col min="14" max="14" width="44.125" style="32" customWidth="1"/>
    <col min="15" max="15" width="46.625" style="32" customWidth="1"/>
  </cols>
  <sheetData>
    <row r="2" spans="1:15" x14ac:dyDescent="0.3">
      <c r="A2" s="124" t="s">
        <v>287</v>
      </c>
      <c r="B2" s="124"/>
      <c r="C2" s="124"/>
      <c r="D2" s="124"/>
      <c r="E2" s="124"/>
      <c r="F2" s="124"/>
      <c r="G2" s="124"/>
      <c r="H2" s="124"/>
      <c r="I2" s="124"/>
      <c r="J2" s="124"/>
      <c r="K2" s="124"/>
      <c r="L2" s="124"/>
      <c r="M2" s="124"/>
      <c r="N2" s="124"/>
      <c r="O2" s="124"/>
    </row>
    <row r="3" spans="1:15" x14ac:dyDescent="0.3">
      <c r="A3" s="124"/>
      <c r="B3" s="124"/>
      <c r="C3" s="124"/>
      <c r="D3" s="124"/>
      <c r="E3" s="124"/>
      <c r="F3" s="124"/>
      <c r="G3" s="124"/>
      <c r="H3" s="124"/>
      <c r="I3" s="124"/>
      <c r="J3" s="124"/>
      <c r="K3" s="124"/>
      <c r="L3" s="124"/>
      <c r="M3" s="124"/>
      <c r="N3" s="124"/>
      <c r="O3" s="124"/>
    </row>
    <row r="5" spans="1:15" x14ac:dyDescent="0.3">
      <c r="A5" s="65" t="s">
        <v>72</v>
      </c>
      <c r="B5" s="66" t="s">
        <v>73</v>
      </c>
      <c r="C5" s="67" t="s">
        <v>263</v>
      </c>
      <c r="D5" s="71" t="s">
        <v>262</v>
      </c>
      <c r="E5" s="68" t="s">
        <v>229</v>
      </c>
      <c r="F5" s="69"/>
      <c r="G5" s="69"/>
      <c r="H5" s="69"/>
      <c r="I5" s="69"/>
      <c r="J5" s="69"/>
      <c r="K5" s="70"/>
      <c r="L5" s="97" t="s">
        <v>264</v>
      </c>
      <c r="M5" s="97"/>
      <c r="N5" s="97"/>
      <c r="O5" s="97"/>
    </row>
    <row r="6" spans="1:15" x14ac:dyDescent="0.3">
      <c r="A6" s="65"/>
      <c r="B6" s="66"/>
      <c r="C6" s="67"/>
      <c r="D6" s="72"/>
      <c r="E6" s="68" t="s">
        <v>196</v>
      </c>
      <c r="F6" s="70"/>
      <c r="G6" s="68" t="s">
        <v>256</v>
      </c>
      <c r="H6" s="70"/>
      <c r="I6" s="68" t="s">
        <v>197</v>
      </c>
      <c r="J6" s="70"/>
      <c r="K6" s="37" t="s">
        <v>198</v>
      </c>
      <c r="L6" s="99" t="s">
        <v>196</v>
      </c>
      <c r="M6" s="99" t="s">
        <v>230</v>
      </c>
      <c r="N6" s="99" t="s">
        <v>197</v>
      </c>
      <c r="O6" s="99" t="s">
        <v>198</v>
      </c>
    </row>
    <row r="7" spans="1:15" x14ac:dyDescent="0.3">
      <c r="A7" s="65"/>
      <c r="B7" s="66"/>
      <c r="C7" s="67"/>
      <c r="D7" s="73"/>
      <c r="E7" s="37" t="s">
        <v>204</v>
      </c>
      <c r="F7" s="37" t="s">
        <v>219</v>
      </c>
      <c r="G7" s="37" t="s">
        <v>204</v>
      </c>
      <c r="H7" s="37" t="s">
        <v>219</v>
      </c>
      <c r="I7" s="37" t="s">
        <v>204</v>
      </c>
      <c r="J7" s="38" t="s">
        <v>219</v>
      </c>
      <c r="K7" s="37" t="s">
        <v>204</v>
      </c>
      <c r="L7" s="100"/>
      <c r="M7" s="100"/>
      <c r="N7" s="100"/>
      <c r="O7" s="100"/>
    </row>
    <row r="8" spans="1:15" ht="135.75" customHeight="1" x14ac:dyDescent="0.3">
      <c r="A8" s="59" t="s">
        <v>190</v>
      </c>
      <c r="B8" s="61" t="s">
        <v>182</v>
      </c>
      <c r="C8" s="33" t="s">
        <v>277</v>
      </c>
      <c r="D8" s="33" t="s">
        <v>244</v>
      </c>
      <c r="E8" s="62" t="s">
        <v>278</v>
      </c>
      <c r="F8" s="62"/>
      <c r="G8" s="62"/>
      <c r="H8" s="62"/>
      <c r="I8" s="62"/>
      <c r="J8" s="62"/>
      <c r="K8" s="62"/>
      <c r="L8" s="44" t="s">
        <v>241</v>
      </c>
      <c r="M8" s="44" t="s">
        <v>242</v>
      </c>
      <c r="N8" s="44" t="s">
        <v>243</v>
      </c>
      <c r="O8" s="44" t="s">
        <v>279</v>
      </c>
    </row>
    <row r="9" spans="1:15" ht="117.75" customHeight="1" x14ac:dyDescent="0.3">
      <c r="A9" s="60"/>
      <c r="B9" s="61"/>
      <c r="C9" s="33" t="s">
        <v>76</v>
      </c>
      <c r="D9" s="33" t="s">
        <v>245</v>
      </c>
      <c r="E9" s="62" t="s">
        <v>280</v>
      </c>
      <c r="F9" s="62"/>
      <c r="G9" s="62"/>
      <c r="H9" s="62"/>
      <c r="I9" s="62"/>
      <c r="J9" s="62"/>
      <c r="K9" s="62"/>
      <c r="L9" s="44" t="s">
        <v>299</v>
      </c>
      <c r="M9" s="44" t="s">
        <v>266</v>
      </c>
      <c r="N9" s="44" t="s">
        <v>246</v>
      </c>
      <c r="O9" s="44" t="s">
        <v>281</v>
      </c>
    </row>
    <row r="10" spans="1:15" ht="16.5" customHeight="1" x14ac:dyDescent="0.3">
      <c r="A10" s="60"/>
      <c r="B10" s="63" t="s">
        <v>183</v>
      </c>
      <c r="C10" s="33" t="s">
        <v>199</v>
      </c>
      <c r="D10" s="33" t="s">
        <v>232</v>
      </c>
      <c r="E10" s="62" t="s">
        <v>282</v>
      </c>
      <c r="F10" s="62"/>
      <c r="G10" s="62"/>
      <c r="H10" s="62"/>
      <c r="I10" s="62"/>
      <c r="J10" s="62"/>
      <c r="K10" s="62"/>
      <c r="L10" s="44" t="s">
        <v>232</v>
      </c>
      <c r="M10" s="44" t="s">
        <v>232</v>
      </c>
      <c r="N10" s="44" t="s">
        <v>232</v>
      </c>
      <c r="O10" s="44" t="s">
        <v>232</v>
      </c>
    </row>
    <row r="11" spans="1:15" ht="16.5" customHeight="1" x14ac:dyDescent="0.3">
      <c r="A11" s="60"/>
      <c r="B11" s="64"/>
      <c r="C11" s="33" t="s">
        <v>200</v>
      </c>
      <c r="D11" s="33" t="s">
        <v>232</v>
      </c>
      <c r="E11" s="62" t="s">
        <v>283</v>
      </c>
      <c r="F11" s="62"/>
      <c r="G11" s="62"/>
      <c r="H11" s="62"/>
      <c r="I11" s="62"/>
      <c r="J11" s="62"/>
      <c r="K11" s="62"/>
      <c r="L11" s="44" t="s">
        <v>232</v>
      </c>
      <c r="M11" s="44" t="s">
        <v>232</v>
      </c>
      <c r="N11" s="44" t="s">
        <v>232</v>
      </c>
      <c r="O11" s="44" t="s">
        <v>232</v>
      </c>
    </row>
    <row r="12" spans="1:15" ht="98.25" customHeight="1" x14ac:dyDescent="0.3">
      <c r="A12" s="59" t="s">
        <v>189</v>
      </c>
      <c r="B12" s="86" t="s">
        <v>216</v>
      </c>
      <c r="C12" s="35" t="s">
        <v>298</v>
      </c>
      <c r="D12" s="33" t="s">
        <v>247</v>
      </c>
      <c r="E12" s="62" t="s">
        <v>284</v>
      </c>
      <c r="F12" s="62"/>
      <c r="G12" s="62"/>
      <c r="H12" s="62"/>
      <c r="I12" s="62"/>
      <c r="J12" s="62"/>
      <c r="K12" s="62"/>
      <c r="L12" s="44" t="s">
        <v>248</v>
      </c>
      <c r="M12" s="44" t="s">
        <v>266</v>
      </c>
      <c r="N12" s="44" t="s">
        <v>249</v>
      </c>
      <c r="O12" s="44" t="s">
        <v>250</v>
      </c>
    </row>
    <row r="13" spans="1:15" ht="33" x14ac:dyDescent="0.3">
      <c r="A13" s="60"/>
      <c r="B13" s="86"/>
      <c r="C13" s="35" t="s">
        <v>78</v>
      </c>
      <c r="D13" s="33" t="s">
        <v>232</v>
      </c>
      <c r="E13" s="87" t="s">
        <v>285</v>
      </c>
      <c r="F13" s="87"/>
      <c r="G13" s="87"/>
      <c r="H13" s="87"/>
      <c r="I13" s="87"/>
      <c r="J13" s="87"/>
      <c r="K13" s="87"/>
      <c r="L13" s="44" t="s">
        <v>232</v>
      </c>
      <c r="M13" s="44" t="s">
        <v>232</v>
      </c>
      <c r="N13" s="44" t="s">
        <v>232</v>
      </c>
      <c r="O13" s="44" t="s">
        <v>232</v>
      </c>
    </row>
    <row r="14" spans="1:15" ht="16.5" customHeight="1" x14ac:dyDescent="0.3">
      <c r="A14" s="60"/>
      <c r="B14" s="119" t="s">
        <v>188</v>
      </c>
      <c r="C14" s="74" t="s">
        <v>203</v>
      </c>
      <c r="D14" s="74" t="s">
        <v>232</v>
      </c>
      <c r="E14" s="89" t="s">
        <v>191</v>
      </c>
      <c r="F14" s="90"/>
      <c r="G14" s="52" t="s">
        <v>205</v>
      </c>
      <c r="H14" s="48" t="s">
        <v>207</v>
      </c>
      <c r="I14" s="89" t="s">
        <v>208</v>
      </c>
      <c r="J14" s="90"/>
      <c r="K14" s="91" t="s">
        <v>261</v>
      </c>
      <c r="L14" s="103" t="s">
        <v>232</v>
      </c>
      <c r="M14" s="103" t="s">
        <v>232</v>
      </c>
      <c r="N14" s="103" t="s">
        <v>232</v>
      </c>
      <c r="O14" s="103" t="s">
        <v>232</v>
      </c>
    </row>
    <row r="15" spans="1:15" ht="49.5" customHeight="1" x14ac:dyDescent="0.3">
      <c r="A15" s="60"/>
      <c r="B15" s="120"/>
      <c r="C15" s="75"/>
      <c r="D15" s="75"/>
      <c r="E15" s="80" t="s">
        <v>192</v>
      </c>
      <c r="F15" s="83" t="s">
        <v>206</v>
      </c>
      <c r="G15" s="80" t="s">
        <v>193</v>
      </c>
      <c r="H15" s="83" t="s">
        <v>222</v>
      </c>
      <c r="I15" s="36" t="s">
        <v>192</v>
      </c>
      <c r="J15" s="40" t="s">
        <v>221</v>
      </c>
      <c r="K15" s="92"/>
      <c r="L15" s="104"/>
      <c r="M15" s="104"/>
      <c r="N15" s="104"/>
      <c r="O15" s="104"/>
    </row>
    <row r="16" spans="1:15" ht="105.75" customHeight="1" x14ac:dyDescent="0.3">
      <c r="A16" s="60"/>
      <c r="B16" s="120"/>
      <c r="C16" s="75"/>
      <c r="D16" s="75"/>
      <c r="E16" s="81"/>
      <c r="F16" s="84"/>
      <c r="G16" s="81"/>
      <c r="H16" s="84"/>
      <c r="I16" s="94" t="s">
        <v>193</v>
      </c>
      <c r="J16" s="62" t="s">
        <v>288</v>
      </c>
      <c r="K16" s="92"/>
      <c r="L16" s="104"/>
      <c r="M16" s="104"/>
      <c r="N16" s="104"/>
      <c r="O16" s="104"/>
    </row>
    <row r="17" spans="1:15" x14ac:dyDescent="0.3">
      <c r="A17" s="60"/>
      <c r="B17" s="120"/>
      <c r="C17" s="88"/>
      <c r="D17" s="88"/>
      <c r="E17" s="82"/>
      <c r="F17" s="85"/>
      <c r="G17" s="82"/>
      <c r="H17" s="85"/>
      <c r="I17" s="94"/>
      <c r="J17" s="62"/>
      <c r="K17" s="93"/>
      <c r="L17" s="105"/>
      <c r="M17" s="105"/>
      <c r="N17" s="105"/>
      <c r="O17" s="105"/>
    </row>
    <row r="18" spans="1:15" ht="33" x14ac:dyDescent="0.3">
      <c r="A18" s="60"/>
      <c r="B18" s="120"/>
      <c r="C18" s="74" t="s">
        <v>184</v>
      </c>
      <c r="D18" s="74" t="s">
        <v>232</v>
      </c>
      <c r="E18" s="76" t="s">
        <v>191</v>
      </c>
      <c r="F18" s="77"/>
      <c r="G18" s="80" t="s">
        <v>193</v>
      </c>
      <c r="H18" s="83" t="s">
        <v>222</v>
      </c>
      <c r="I18" s="53" t="s">
        <v>212</v>
      </c>
      <c r="J18" s="42" t="s">
        <v>221</v>
      </c>
      <c r="K18" s="78" t="s">
        <v>261</v>
      </c>
      <c r="L18" s="103" t="s">
        <v>232</v>
      </c>
      <c r="M18" s="103" t="s">
        <v>232</v>
      </c>
      <c r="N18" s="103" t="s">
        <v>232</v>
      </c>
      <c r="O18" s="103" t="s">
        <v>232</v>
      </c>
    </row>
    <row r="19" spans="1:15" ht="49.5" customHeight="1" x14ac:dyDescent="0.3">
      <c r="A19" s="60"/>
      <c r="B19" s="120"/>
      <c r="C19" s="75"/>
      <c r="D19" s="75"/>
      <c r="E19" s="53" t="s">
        <v>192</v>
      </c>
      <c r="F19" s="42" t="s">
        <v>210</v>
      </c>
      <c r="G19" s="81"/>
      <c r="H19" s="84"/>
      <c r="I19" s="80" t="s">
        <v>193</v>
      </c>
      <c r="J19" s="83" t="s">
        <v>289</v>
      </c>
      <c r="K19" s="79"/>
      <c r="L19" s="104"/>
      <c r="M19" s="104"/>
      <c r="N19" s="104"/>
      <c r="O19" s="104"/>
    </row>
    <row r="20" spans="1:15" ht="49.5" x14ac:dyDescent="0.3">
      <c r="A20" s="60"/>
      <c r="B20" s="120"/>
      <c r="C20" s="75"/>
      <c r="D20" s="75"/>
      <c r="E20" s="53" t="s">
        <v>205</v>
      </c>
      <c r="F20" s="42" t="s">
        <v>211</v>
      </c>
      <c r="G20" s="82"/>
      <c r="H20" s="85"/>
      <c r="I20" s="82"/>
      <c r="J20" s="85"/>
      <c r="K20" s="79"/>
      <c r="L20" s="104"/>
      <c r="M20" s="104"/>
      <c r="N20" s="104"/>
      <c r="O20" s="104"/>
    </row>
    <row r="21" spans="1:15" ht="97.5" customHeight="1" x14ac:dyDescent="0.3">
      <c r="A21" s="60"/>
      <c r="B21" s="120"/>
      <c r="C21" s="74" t="s">
        <v>185</v>
      </c>
      <c r="D21" s="95" t="s">
        <v>236</v>
      </c>
      <c r="E21" s="76" t="s">
        <v>191</v>
      </c>
      <c r="F21" s="77"/>
      <c r="G21" s="80" t="s">
        <v>205</v>
      </c>
      <c r="H21" s="83" t="s">
        <v>211</v>
      </c>
      <c r="I21" s="36" t="s">
        <v>192</v>
      </c>
      <c r="J21" s="40" t="s">
        <v>223</v>
      </c>
      <c r="K21" s="78" t="s">
        <v>261</v>
      </c>
      <c r="L21" s="103" t="s">
        <v>237</v>
      </c>
      <c r="M21" s="103" t="s">
        <v>238</v>
      </c>
      <c r="N21" s="103" t="s">
        <v>286</v>
      </c>
      <c r="O21" s="103" t="s">
        <v>239</v>
      </c>
    </row>
    <row r="22" spans="1:15" ht="72" customHeight="1" x14ac:dyDescent="0.3">
      <c r="A22" s="60"/>
      <c r="B22" s="120"/>
      <c r="C22" s="75"/>
      <c r="D22" s="96"/>
      <c r="E22" s="47" t="s">
        <v>192</v>
      </c>
      <c r="F22" s="51" t="s">
        <v>214</v>
      </c>
      <c r="G22" s="81"/>
      <c r="H22" s="84"/>
      <c r="I22" s="45" t="s">
        <v>193</v>
      </c>
      <c r="J22" s="54" t="s">
        <v>290</v>
      </c>
      <c r="K22" s="79"/>
      <c r="L22" s="104"/>
      <c r="M22" s="104"/>
      <c r="N22" s="104"/>
      <c r="O22" s="104"/>
    </row>
    <row r="23" spans="1:15" ht="39" customHeight="1" x14ac:dyDescent="0.3">
      <c r="A23" s="107" t="s">
        <v>228</v>
      </c>
      <c r="B23" s="61" t="s">
        <v>213</v>
      </c>
      <c r="C23" s="106" t="s">
        <v>99</v>
      </c>
      <c r="D23" s="108" t="s">
        <v>235</v>
      </c>
      <c r="E23" s="109" t="s">
        <v>265</v>
      </c>
      <c r="F23" s="109"/>
      <c r="G23" s="109"/>
      <c r="H23" s="109"/>
      <c r="I23" s="109"/>
      <c r="J23" s="109"/>
      <c r="K23" s="109"/>
      <c r="L23" s="102" t="s">
        <v>234</v>
      </c>
      <c r="M23" s="102" t="s">
        <v>266</v>
      </c>
      <c r="N23" s="102" t="s">
        <v>267</v>
      </c>
      <c r="O23" s="102" t="s">
        <v>268</v>
      </c>
    </row>
    <row r="24" spans="1:15" ht="66" x14ac:dyDescent="0.3">
      <c r="A24" s="107"/>
      <c r="B24" s="61"/>
      <c r="C24" s="106"/>
      <c r="D24" s="108"/>
      <c r="E24" s="112" t="s">
        <v>191</v>
      </c>
      <c r="F24" s="112"/>
      <c r="G24" s="36" t="s">
        <v>194</v>
      </c>
      <c r="H24" s="40" t="s">
        <v>211</v>
      </c>
      <c r="I24" s="40" t="s">
        <v>193</v>
      </c>
      <c r="J24" s="40" t="s">
        <v>252</v>
      </c>
      <c r="K24" s="115" t="s">
        <v>261</v>
      </c>
      <c r="L24" s="102"/>
      <c r="M24" s="102"/>
      <c r="N24" s="102"/>
      <c r="O24" s="102"/>
    </row>
    <row r="25" spans="1:15" ht="66" x14ac:dyDescent="0.3">
      <c r="A25" s="107"/>
      <c r="B25" s="61"/>
      <c r="C25" s="106"/>
      <c r="D25" s="108"/>
      <c r="E25" s="36" t="s">
        <v>192</v>
      </c>
      <c r="F25" s="40" t="s">
        <v>251</v>
      </c>
      <c r="G25" s="36" t="s">
        <v>193</v>
      </c>
      <c r="H25" s="40" t="s">
        <v>291</v>
      </c>
      <c r="I25" s="40" t="s">
        <v>192</v>
      </c>
      <c r="J25" s="40" t="s">
        <v>253</v>
      </c>
      <c r="K25" s="115"/>
      <c r="L25" s="102"/>
      <c r="M25" s="102"/>
      <c r="N25" s="102"/>
      <c r="O25" s="102"/>
    </row>
    <row r="26" spans="1:15" ht="16.5" customHeight="1" x14ac:dyDescent="0.3">
      <c r="A26" s="107"/>
      <c r="B26" s="61" t="s">
        <v>186</v>
      </c>
      <c r="C26" s="106" t="s">
        <v>201</v>
      </c>
      <c r="D26" s="111" t="s">
        <v>236</v>
      </c>
      <c r="E26" s="87" t="s">
        <v>191</v>
      </c>
      <c r="F26" s="87"/>
      <c r="G26" s="80" t="s">
        <v>194</v>
      </c>
      <c r="H26" s="83" t="s">
        <v>211</v>
      </c>
      <c r="I26" s="110" t="s">
        <v>212</v>
      </c>
      <c r="J26" s="121" t="s">
        <v>253</v>
      </c>
      <c r="K26" s="91" t="s">
        <v>261</v>
      </c>
      <c r="L26" s="101" t="s">
        <v>237</v>
      </c>
      <c r="M26" s="101" t="s">
        <v>238</v>
      </c>
      <c r="N26" s="101" t="s">
        <v>269</v>
      </c>
      <c r="O26" s="102" t="s">
        <v>239</v>
      </c>
    </row>
    <row r="27" spans="1:15" ht="66" customHeight="1" x14ac:dyDescent="0.3">
      <c r="A27" s="107"/>
      <c r="B27" s="61"/>
      <c r="C27" s="106"/>
      <c r="D27" s="111"/>
      <c r="E27" s="113" t="s">
        <v>192</v>
      </c>
      <c r="F27" s="83" t="s">
        <v>251</v>
      </c>
      <c r="G27" s="81"/>
      <c r="H27" s="84"/>
      <c r="I27" s="110"/>
      <c r="J27" s="121"/>
      <c r="K27" s="92"/>
      <c r="L27" s="101"/>
      <c r="M27" s="101"/>
      <c r="N27" s="101"/>
      <c r="O27" s="102"/>
    </row>
    <row r="28" spans="1:15" ht="33" x14ac:dyDescent="0.3">
      <c r="A28" s="107"/>
      <c r="B28" s="61"/>
      <c r="C28" s="56"/>
      <c r="D28" s="111"/>
      <c r="E28" s="114"/>
      <c r="F28" s="85"/>
      <c r="G28" s="82"/>
      <c r="H28" s="85"/>
      <c r="I28" s="57" t="s">
        <v>193</v>
      </c>
      <c r="J28" s="58" t="s">
        <v>297</v>
      </c>
      <c r="K28" s="93"/>
      <c r="L28" s="101"/>
      <c r="M28" s="101"/>
      <c r="N28" s="101"/>
      <c r="O28" s="102"/>
    </row>
    <row r="29" spans="1:15" ht="82.5" x14ac:dyDescent="0.3">
      <c r="A29" s="107"/>
      <c r="B29" s="61"/>
      <c r="C29" s="106" t="s">
        <v>202</v>
      </c>
      <c r="D29" s="111"/>
      <c r="E29" s="110" t="s">
        <v>191</v>
      </c>
      <c r="F29" s="110"/>
      <c r="G29" s="110" t="s">
        <v>205</v>
      </c>
      <c r="H29" s="121" t="s">
        <v>211</v>
      </c>
      <c r="I29" s="36" t="s">
        <v>212</v>
      </c>
      <c r="J29" s="40" t="s">
        <v>223</v>
      </c>
      <c r="K29" s="94" t="s">
        <v>261</v>
      </c>
      <c r="L29" s="101"/>
      <c r="M29" s="101"/>
      <c r="N29" s="101"/>
      <c r="O29" s="102"/>
    </row>
    <row r="30" spans="1:15" ht="148.5" x14ac:dyDescent="0.3">
      <c r="A30" s="107"/>
      <c r="B30" s="61"/>
      <c r="C30" s="106"/>
      <c r="D30" s="111"/>
      <c r="E30" s="52" t="s">
        <v>192</v>
      </c>
      <c r="F30" s="48" t="s">
        <v>214</v>
      </c>
      <c r="G30" s="110"/>
      <c r="H30" s="121"/>
      <c r="I30" s="36" t="s">
        <v>193</v>
      </c>
      <c r="J30" s="40" t="s">
        <v>296</v>
      </c>
      <c r="K30" s="94"/>
      <c r="L30" s="101"/>
      <c r="M30" s="101"/>
      <c r="N30" s="101"/>
      <c r="O30" s="102"/>
    </row>
    <row r="31" spans="1:15" ht="99" x14ac:dyDescent="0.3">
      <c r="A31" s="107"/>
      <c r="B31" s="61"/>
      <c r="C31" s="106" t="s">
        <v>270</v>
      </c>
      <c r="D31" s="106" t="s">
        <v>271</v>
      </c>
      <c r="E31" s="110" t="s">
        <v>191</v>
      </c>
      <c r="F31" s="110"/>
      <c r="G31" s="110" t="s">
        <v>205</v>
      </c>
      <c r="H31" s="121" t="s">
        <v>211</v>
      </c>
      <c r="I31" s="53" t="s">
        <v>193</v>
      </c>
      <c r="J31" s="55" t="s">
        <v>255</v>
      </c>
      <c r="K31" s="62" t="s">
        <v>261</v>
      </c>
      <c r="L31" s="102" t="s">
        <v>240</v>
      </c>
      <c r="M31" s="102" t="s">
        <v>272</v>
      </c>
      <c r="N31" s="102" t="s">
        <v>273</v>
      </c>
      <c r="O31" s="102" t="s">
        <v>274</v>
      </c>
    </row>
    <row r="32" spans="1:15" ht="24" customHeight="1" x14ac:dyDescent="0.3">
      <c r="A32" s="107"/>
      <c r="B32" s="61"/>
      <c r="C32" s="106"/>
      <c r="D32" s="106"/>
      <c r="E32" s="110" t="s">
        <v>192</v>
      </c>
      <c r="F32" s="121" t="s">
        <v>214</v>
      </c>
      <c r="G32" s="110"/>
      <c r="H32" s="121"/>
      <c r="I32" s="110" t="s">
        <v>208</v>
      </c>
      <c r="J32" s="110"/>
      <c r="K32" s="62"/>
      <c r="L32" s="102"/>
      <c r="M32" s="102"/>
      <c r="N32" s="102"/>
      <c r="O32" s="102"/>
    </row>
    <row r="33" spans="1:15" ht="24" customHeight="1" x14ac:dyDescent="0.3">
      <c r="A33" s="107"/>
      <c r="B33" s="61"/>
      <c r="C33" s="106"/>
      <c r="D33" s="106"/>
      <c r="E33" s="110"/>
      <c r="F33" s="121"/>
      <c r="G33" s="110"/>
      <c r="H33" s="121"/>
      <c r="I33" s="110" t="s">
        <v>254</v>
      </c>
      <c r="J33" s="110"/>
      <c r="K33" s="62"/>
      <c r="L33" s="102"/>
      <c r="M33" s="102"/>
      <c r="N33" s="102"/>
      <c r="O33" s="102"/>
    </row>
    <row r="34" spans="1:15" ht="37.5" customHeight="1" x14ac:dyDescent="0.3">
      <c r="A34" s="107"/>
      <c r="B34" s="61"/>
      <c r="C34" s="46" t="s">
        <v>195</v>
      </c>
      <c r="D34" s="33" t="s">
        <v>232</v>
      </c>
      <c r="E34" s="98" t="s">
        <v>275</v>
      </c>
      <c r="F34" s="98"/>
      <c r="G34" s="98"/>
      <c r="H34" s="98"/>
      <c r="I34" s="98"/>
      <c r="J34" s="98"/>
      <c r="K34" s="98"/>
      <c r="L34" s="44" t="s">
        <v>232</v>
      </c>
      <c r="M34" s="44" t="s">
        <v>232</v>
      </c>
      <c r="N34" s="44" t="s">
        <v>232</v>
      </c>
      <c r="O34" s="44" t="s">
        <v>232</v>
      </c>
    </row>
    <row r="35" spans="1:15" ht="33" customHeight="1" x14ac:dyDescent="0.3">
      <c r="A35" s="122" t="s">
        <v>231</v>
      </c>
      <c r="B35" s="61" t="s">
        <v>187</v>
      </c>
      <c r="C35" s="46" t="s">
        <v>260</v>
      </c>
      <c r="D35" s="33" t="s">
        <v>232</v>
      </c>
      <c r="E35" s="62" t="s">
        <v>227</v>
      </c>
      <c r="F35" s="62"/>
      <c r="G35" s="62"/>
      <c r="H35" s="62"/>
      <c r="I35" s="62"/>
      <c r="J35" s="62"/>
      <c r="K35" s="62"/>
      <c r="L35" s="44" t="s">
        <v>232</v>
      </c>
      <c r="M35" s="44" t="s">
        <v>232</v>
      </c>
      <c r="N35" s="44" t="s">
        <v>232</v>
      </c>
      <c r="O35" s="44" t="s">
        <v>232</v>
      </c>
    </row>
    <row r="36" spans="1:15" ht="99" customHeight="1" x14ac:dyDescent="0.3">
      <c r="A36" s="123"/>
      <c r="B36" s="61"/>
      <c r="C36" s="74" t="s">
        <v>226</v>
      </c>
      <c r="D36" s="74" t="s">
        <v>232</v>
      </c>
      <c r="E36" s="110" t="s">
        <v>215</v>
      </c>
      <c r="F36" s="110"/>
      <c r="G36" s="110" t="s">
        <v>193</v>
      </c>
      <c r="H36" s="121" t="s">
        <v>291</v>
      </c>
      <c r="I36" s="110" t="s">
        <v>193</v>
      </c>
      <c r="J36" s="121" t="s">
        <v>292</v>
      </c>
      <c r="K36" s="62" t="s">
        <v>261</v>
      </c>
      <c r="L36" s="103" t="s">
        <v>232</v>
      </c>
      <c r="M36" s="103" t="s">
        <v>232</v>
      </c>
      <c r="N36" s="103" t="s">
        <v>232</v>
      </c>
      <c r="O36" s="103" t="s">
        <v>232</v>
      </c>
    </row>
    <row r="37" spans="1:15" ht="49.5" x14ac:dyDescent="0.3">
      <c r="A37" s="123"/>
      <c r="B37" s="61"/>
      <c r="C37" s="88"/>
      <c r="D37" s="88"/>
      <c r="E37" s="52" t="s">
        <v>194</v>
      </c>
      <c r="F37" s="48" t="s">
        <v>211</v>
      </c>
      <c r="G37" s="110"/>
      <c r="H37" s="121"/>
      <c r="I37" s="110"/>
      <c r="J37" s="121"/>
      <c r="K37" s="62"/>
      <c r="L37" s="105"/>
      <c r="M37" s="105"/>
      <c r="N37" s="105"/>
      <c r="O37" s="105"/>
    </row>
    <row r="38" spans="1:15" ht="66" x14ac:dyDescent="0.3">
      <c r="A38" s="123"/>
      <c r="B38" s="61"/>
      <c r="C38" s="74" t="s">
        <v>224</v>
      </c>
      <c r="D38" s="74" t="s">
        <v>232</v>
      </c>
      <c r="E38" s="110" t="s">
        <v>191</v>
      </c>
      <c r="F38" s="110"/>
      <c r="G38" s="110" t="s">
        <v>193</v>
      </c>
      <c r="H38" s="110" t="s">
        <v>258</v>
      </c>
      <c r="I38" s="42" t="s">
        <v>192</v>
      </c>
      <c r="J38" s="42" t="s">
        <v>259</v>
      </c>
      <c r="K38" s="62" t="s">
        <v>261</v>
      </c>
      <c r="L38" s="103" t="s">
        <v>232</v>
      </c>
      <c r="M38" s="103" t="s">
        <v>232</v>
      </c>
      <c r="N38" s="103" t="s">
        <v>232</v>
      </c>
      <c r="O38" s="103" t="s">
        <v>232</v>
      </c>
    </row>
    <row r="39" spans="1:15" ht="66" customHeight="1" x14ac:dyDescent="0.3">
      <c r="A39" s="123"/>
      <c r="B39" s="61"/>
      <c r="C39" s="75"/>
      <c r="D39" s="75"/>
      <c r="E39" s="36" t="s">
        <v>192</v>
      </c>
      <c r="F39" s="40" t="s">
        <v>214</v>
      </c>
      <c r="G39" s="110"/>
      <c r="H39" s="110"/>
      <c r="I39" s="121" t="s">
        <v>193</v>
      </c>
      <c r="J39" s="121" t="s">
        <v>294</v>
      </c>
      <c r="K39" s="62"/>
      <c r="L39" s="104"/>
      <c r="M39" s="104"/>
      <c r="N39" s="104"/>
      <c r="O39" s="104"/>
    </row>
    <row r="40" spans="1:15" ht="49.5" x14ac:dyDescent="0.3">
      <c r="A40" s="123"/>
      <c r="B40" s="61"/>
      <c r="C40" s="88"/>
      <c r="D40" s="88"/>
      <c r="E40" s="36" t="s">
        <v>205</v>
      </c>
      <c r="F40" s="48" t="s">
        <v>211</v>
      </c>
      <c r="G40" s="110"/>
      <c r="H40" s="110"/>
      <c r="I40" s="121"/>
      <c r="J40" s="121"/>
      <c r="K40" s="62"/>
      <c r="L40" s="105"/>
      <c r="M40" s="105"/>
      <c r="N40" s="105"/>
      <c r="O40" s="105"/>
    </row>
    <row r="41" spans="1:15" ht="66" x14ac:dyDescent="0.3">
      <c r="A41" s="123"/>
      <c r="B41" s="61"/>
      <c r="C41" s="74" t="s">
        <v>225</v>
      </c>
      <c r="D41" s="74" t="s">
        <v>232</v>
      </c>
      <c r="E41" s="110" t="s">
        <v>191</v>
      </c>
      <c r="F41" s="110"/>
      <c r="G41" s="110" t="s">
        <v>205</v>
      </c>
      <c r="H41" s="121" t="s">
        <v>211</v>
      </c>
      <c r="I41" s="42" t="s">
        <v>192</v>
      </c>
      <c r="J41" s="42" t="s">
        <v>259</v>
      </c>
      <c r="K41" s="62" t="s">
        <v>261</v>
      </c>
      <c r="L41" s="103" t="s">
        <v>232</v>
      </c>
      <c r="M41" s="103" t="s">
        <v>232</v>
      </c>
      <c r="N41" s="103" t="s">
        <v>232</v>
      </c>
      <c r="O41" s="49" t="s">
        <v>232</v>
      </c>
    </row>
    <row r="42" spans="1:15" ht="66" x14ac:dyDescent="0.3">
      <c r="A42" s="123"/>
      <c r="B42" s="61"/>
      <c r="C42" s="88"/>
      <c r="D42" s="88"/>
      <c r="E42" s="36" t="s">
        <v>192</v>
      </c>
      <c r="F42" s="40" t="s">
        <v>214</v>
      </c>
      <c r="G42" s="110"/>
      <c r="H42" s="121"/>
      <c r="I42" s="42" t="s">
        <v>193</v>
      </c>
      <c r="J42" s="43" t="s">
        <v>293</v>
      </c>
      <c r="K42" s="62"/>
      <c r="L42" s="105"/>
      <c r="M42" s="105"/>
      <c r="N42" s="105"/>
      <c r="O42" s="50"/>
    </row>
    <row r="43" spans="1:15" ht="49.5" x14ac:dyDescent="0.3">
      <c r="A43" s="123"/>
      <c r="B43" s="61"/>
      <c r="C43" s="46" t="s">
        <v>276</v>
      </c>
      <c r="D43" s="33" t="s">
        <v>232</v>
      </c>
      <c r="E43" s="62" t="s">
        <v>209</v>
      </c>
      <c r="F43" s="62"/>
      <c r="G43" s="62"/>
      <c r="H43" s="62"/>
      <c r="I43" s="62"/>
      <c r="J43" s="62"/>
      <c r="K43" s="62"/>
      <c r="L43" s="44" t="s">
        <v>232</v>
      </c>
      <c r="M43" s="44" t="s">
        <v>232</v>
      </c>
      <c r="N43" s="44" t="s">
        <v>232</v>
      </c>
      <c r="O43" s="44" t="s">
        <v>232</v>
      </c>
    </row>
    <row r="44" spans="1:15" x14ac:dyDescent="0.3">
      <c r="A44" s="123"/>
      <c r="B44" s="125" t="s">
        <v>257</v>
      </c>
      <c r="C44" s="74" t="s">
        <v>233</v>
      </c>
      <c r="D44" s="74" t="s">
        <v>232</v>
      </c>
      <c r="E44" s="110" t="s">
        <v>191</v>
      </c>
      <c r="F44" s="110"/>
      <c r="G44" s="127" t="s">
        <v>194</v>
      </c>
      <c r="H44" s="121" t="s">
        <v>211</v>
      </c>
      <c r="I44" s="121" t="s">
        <v>193</v>
      </c>
      <c r="J44" s="128" t="s">
        <v>295</v>
      </c>
      <c r="K44" s="62" t="s">
        <v>261</v>
      </c>
      <c r="L44" s="103" t="s">
        <v>232</v>
      </c>
      <c r="M44" s="103" t="s">
        <v>232</v>
      </c>
      <c r="N44" s="103" t="s">
        <v>232</v>
      </c>
      <c r="O44" s="103" t="s">
        <v>232</v>
      </c>
    </row>
    <row r="45" spans="1:15" ht="127.5" customHeight="1" x14ac:dyDescent="0.3">
      <c r="A45" s="123"/>
      <c r="B45" s="126"/>
      <c r="C45" s="88"/>
      <c r="D45" s="88"/>
      <c r="E45" s="36" t="s">
        <v>192</v>
      </c>
      <c r="F45" s="40" t="s">
        <v>214</v>
      </c>
      <c r="G45" s="127"/>
      <c r="H45" s="121"/>
      <c r="I45" s="121"/>
      <c r="J45" s="128"/>
      <c r="K45" s="62"/>
      <c r="L45" s="105"/>
      <c r="M45" s="105"/>
      <c r="N45" s="105"/>
      <c r="O45" s="105"/>
    </row>
    <row r="46" spans="1:15" ht="33" x14ac:dyDescent="0.3">
      <c r="A46" s="123"/>
      <c r="B46" s="41" t="s">
        <v>220</v>
      </c>
      <c r="C46" s="39" t="s">
        <v>217</v>
      </c>
      <c r="D46" s="33" t="s">
        <v>232</v>
      </c>
      <c r="E46" s="116" t="s">
        <v>218</v>
      </c>
      <c r="F46" s="117"/>
      <c r="G46" s="117"/>
      <c r="H46" s="117"/>
      <c r="I46" s="117"/>
      <c r="J46" s="117"/>
      <c r="K46" s="118"/>
      <c r="L46" s="44" t="s">
        <v>232</v>
      </c>
      <c r="M46" s="44" t="s">
        <v>232</v>
      </c>
      <c r="N46" s="44" t="s">
        <v>232</v>
      </c>
      <c r="O46" s="44" t="s">
        <v>232</v>
      </c>
    </row>
  </sheetData>
  <mergeCells count="160">
    <mergeCell ref="L44:L45"/>
    <mergeCell ref="M44:M45"/>
    <mergeCell ref="N44:N45"/>
    <mergeCell ref="O44:O45"/>
    <mergeCell ref="A2:O3"/>
    <mergeCell ref="B44:B45"/>
    <mergeCell ref="C44:C45"/>
    <mergeCell ref="D44:D45"/>
    <mergeCell ref="E44:F44"/>
    <mergeCell ref="K44:K45"/>
    <mergeCell ref="G44:G45"/>
    <mergeCell ref="H44:H45"/>
    <mergeCell ref="I44:I45"/>
    <mergeCell ref="J44:J45"/>
    <mergeCell ref="L41:L42"/>
    <mergeCell ref="M41:M42"/>
    <mergeCell ref="N41:N42"/>
    <mergeCell ref="L38:L40"/>
    <mergeCell ref="M38:M40"/>
    <mergeCell ref="N38:N40"/>
    <mergeCell ref="O38:O40"/>
    <mergeCell ref="D41:D42"/>
    <mergeCell ref="C41:C42"/>
    <mergeCell ref="G41:G42"/>
    <mergeCell ref="B35:B43"/>
    <mergeCell ref="A35:A46"/>
    <mergeCell ref="E43:K43"/>
    <mergeCell ref="E36:F36"/>
    <mergeCell ref="G36:G37"/>
    <mergeCell ref="H36:H37"/>
    <mergeCell ref="I36:I37"/>
    <mergeCell ref="J36:J37"/>
    <mergeCell ref="K36:K37"/>
    <mergeCell ref="C36:C37"/>
    <mergeCell ref="E35:K35"/>
    <mergeCell ref="H41:H42"/>
    <mergeCell ref="K41:K42"/>
    <mergeCell ref="H38:H40"/>
    <mergeCell ref="I39:I40"/>
    <mergeCell ref="J39:J40"/>
    <mergeCell ref="K38:K40"/>
    <mergeCell ref="E41:F41"/>
    <mergeCell ref="E38:F38"/>
    <mergeCell ref="D38:D40"/>
    <mergeCell ref="L36:L37"/>
    <mergeCell ref="M36:M37"/>
    <mergeCell ref="N36:N37"/>
    <mergeCell ref="O36:O37"/>
    <mergeCell ref="E46:K46"/>
    <mergeCell ref="B14:B22"/>
    <mergeCell ref="B23:B25"/>
    <mergeCell ref="D36:D37"/>
    <mergeCell ref="C31:C33"/>
    <mergeCell ref="D31:D33"/>
    <mergeCell ref="I32:J32"/>
    <mergeCell ref="I33:J33"/>
    <mergeCell ref="K31:K33"/>
    <mergeCell ref="F32:F33"/>
    <mergeCell ref="E32:E33"/>
    <mergeCell ref="H31:H33"/>
    <mergeCell ref="G31:G33"/>
    <mergeCell ref="I26:I27"/>
    <mergeCell ref="J26:J27"/>
    <mergeCell ref="H29:H30"/>
    <mergeCell ref="G29:G30"/>
    <mergeCell ref="G15:G17"/>
    <mergeCell ref="C38:C40"/>
    <mergeCell ref="G38:G40"/>
    <mergeCell ref="F15:F17"/>
    <mergeCell ref="E15:E17"/>
    <mergeCell ref="E31:F31"/>
    <mergeCell ref="L31:L33"/>
    <mergeCell ref="M31:M33"/>
    <mergeCell ref="N31:N33"/>
    <mergeCell ref="O31:O33"/>
    <mergeCell ref="L23:L25"/>
    <mergeCell ref="M23:M25"/>
    <mergeCell ref="N23:N25"/>
    <mergeCell ref="O23:O25"/>
    <mergeCell ref="K24:K25"/>
    <mergeCell ref="H21:H22"/>
    <mergeCell ref="C23:C25"/>
    <mergeCell ref="A23:A34"/>
    <mergeCell ref="D23:D25"/>
    <mergeCell ref="E23:K23"/>
    <mergeCell ref="B26:B34"/>
    <mergeCell ref="C26:C27"/>
    <mergeCell ref="E26:F26"/>
    <mergeCell ref="C29:C30"/>
    <mergeCell ref="E29:F29"/>
    <mergeCell ref="D26:D30"/>
    <mergeCell ref="E24:F24"/>
    <mergeCell ref="E27:E28"/>
    <mergeCell ref="F27:F28"/>
    <mergeCell ref="G26:G28"/>
    <mergeCell ref="H26:H28"/>
    <mergeCell ref="K26:K28"/>
    <mergeCell ref="L5:O5"/>
    <mergeCell ref="K29:K30"/>
    <mergeCell ref="E34:K34"/>
    <mergeCell ref="L6:L7"/>
    <mergeCell ref="M6:M7"/>
    <mergeCell ref="N6:N7"/>
    <mergeCell ref="O6:O7"/>
    <mergeCell ref="L26:L30"/>
    <mergeCell ref="M26:M30"/>
    <mergeCell ref="N26:N30"/>
    <mergeCell ref="O26:O30"/>
    <mergeCell ref="L14:L17"/>
    <mergeCell ref="M14:M17"/>
    <mergeCell ref="N14:N17"/>
    <mergeCell ref="O14:O17"/>
    <mergeCell ref="L18:L20"/>
    <mergeCell ref="M18:M20"/>
    <mergeCell ref="N18:N20"/>
    <mergeCell ref="O18:O20"/>
    <mergeCell ref="L21:L22"/>
    <mergeCell ref="M21:M22"/>
    <mergeCell ref="N21:N22"/>
    <mergeCell ref="O21:O22"/>
    <mergeCell ref="H15:H17"/>
    <mergeCell ref="C18:C20"/>
    <mergeCell ref="E18:F18"/>
    <mergeCell ref="K18:K20"/>
    <mergeCell ref="G18:G20"/>
    <mergeCell ref="H18:H20"/>
    <mergeCell ref="I19:I20"/>
    <mergeCell ref="J19:J20"/>
    <mergeCell ref="A12:A22"/>
    <mergeCell ref="B12:B13"/>
    <mergeCell ref="E12:K12"/>
    <mergeCell ref="E13:K13"/>
    <mergeCell ref="C14:C17"/>
    <mergeCell ref="E14:F14"/>
    <mergeCell ref="I14:J14"/>
    <mergeCell ref="K14:K17"/>
    <mergeCell ref="I16:I17"/>
    <mergeCell ref="J16:J17"/>
    <mergeCell ref="D18:D20"/>
    <mergeCell ref="D14:D17"/>
    <mergeCell ref="C21:C22"/>
    <mergeCell ref="E21:F21"/>
    <mergeCell ref="K21:K22"/>
    <mergeCell ref="D21:D22"/>
    <mergeCell ref="G21:G22"/>
    <mergeCell ref="A8:A11"/>
    <mergeCell ref="B8:B9"/>
    <mergeCell ref="E8:K8"/>
    <mergeCell ref="E9:K9"/>
    <mergeCell ref="B10:B11"/>
    <mergeCell ref="E10:K10"/>
    <mergeCell ref="E11:K11"/>
    <mergeCell ref="A5:A7"/>
    <mergeCell ref="B5:B7"/>
    <mergeCell ref="C5:C7"/>
    <mergeCell ref="E5:K5"/>
    <mergeCell ref="E6:F6"/>
    <mergeCell ref="I6:J6"/>
    <mergeCell ref="G6:H6"/>
    <mergeCell ref="D5:D7"/>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105"/>
  <sheetViews>
    <sheetView topLeftCell="D16" zoomScale="98" zoomScaleNormal="98" workbookViewId="0">
      <selection activeCell="E18" sqref="E18:E32"/>
    </sheetView>
  </sheetViews>
  <sheetFormatPr baseColWidth="10" defaultColWidth="11.625" defaultRowHeight="16.5" x14ac:dyDescent="0.3"/>
  <cols>
    <col min="2" max="2" width="50.875" style="8" bestFit="1" customWidth="1"/>
    <col min="3" max="3" width="48.875" bestFit="1" customWidth="1"/>
    <col min="4" max="4" width="80.875" bestFit="1" customWidth="1"/>
    <col min="5" max="5" width="86.625" bestFit="1" customWidth="1"/>
    <col min="6" max="6" width="14.125" style="3" customWidth="1"/>
    <col min="7" max="7" width="14.375" style="3" customWidth="1"/>
    <col min="8" max="8" width="30.625" style="13" customWidth="1"/>
    <col min="9" max="9" width="30.625" style="13" hidden="1" customWidth="1"/>
    <col min="10" max="10" width="26.875" style="13" hidden="1" customWidth="1"/>
    <col min="11" max="11" width="35.125" style="19" customWidth="1"/>
    <col min="12" max="12" width="15.375" customWidth="1"/>
    <col min="13" max="13" width="19.125" customWidth="1"/>
    <col min="14" max="14" width="21.375" customWidth="1"/>
    <col min="15" max="15" width="22.125" customWidth="1"/>
  </cols>
  <sheetData>
    <row r="2" spans="2:16" x14ac:dyDescent="0.3">
      <c r="B2" s="8" t="s">
        <v>101</v>
      </c>
      <c r="F2" s="129"/>
      <c r="G2" s="129"/>
      <c r="H2" s="129"/>
      <c r="I2" s="16"/>
      <c r="J2" s="16"/>
    </row>
    <row r="3" spans="2:16" ht="33" x14ac:dyDescent="0.3">
      <c r="B3" s="9" t="s">
        <v>72</v>
      </c>
      <c r="C3" s="2" t="s">
        <v>73</v>
      </c>
      <c r="D3" s="2" t="s">
        <v>74</v>
      </c>
      <c r="E3" s="6" t="s">
        <v>84</v>
      </c>
      <c r="F3" s="9" t="s">
        <v>86</v>
      </c>
      <c r="G3" s="9" t="s">
        <v>87</v>
      </c>
      <c r="H3" s="14" t="s">
        <v>88</v>
      </c>
      <c r="I3" s="14" t="s">
        <v>168</v>
      </c>
      <c r="J3" s="14" t="s">
        <v>167</v>
      </c>
      <c r="K3" s="20" t="s">
        <v>150</v>
      </c>
      <c r="L3" s="14" t="s">
        <v>151</v>
      </c>
      <c r="M3" s="14" t="s">
        <v>152</v>
      </c>
      <c r="N3" s="14" t="s">
        <v>171</v>
      </c>
      <c r="O3" s="14" t="s">
        <v>167</v>
      </c>
    </row>
    <row r="4" spans="2:16" x14ac:dyDescent="0.3">
      <c r="B4" s="135" t="s">
        <v>176</v>
      </c>
      <c r="C4" s="130" t="s">
        <v>180</v>
      </c>
      <c r="D4" s="1" t="s">
        <v>75</v>
      </c>
      <c r="E4" s="1" t="s">
        <v>75</v>
      </c>
      <c r="F4" s="2" t="s">
        <v>53</v>
      </c>
      <c r="G4" s="2" t="s">
        <v>53</v>
      </c>
      <c r="H4" s="14" t="s">
        <v>53</v>
      </c>
      <c r="I4" s="14"/>
      <c r="J4" s="14"/>
      <c r="K4" s="24">
        <v>37395.197500000002</v>
      </c>
      <c r="L4" s="4">
        <v>46517.287499999999</v>
      </c>
      <c r="M4" s="4">
        <v>46718.901375799003</v>
      </c>
      <c r="N4" s="4">
        <v>46718.901375799003</v>
      </c>
      <c r="O4" s="1"/>
    </row>
    <row r="5" spans="2:16" x14ac:dyDescent="0.3">
      <c r="B5" s="136"/>
      <c r="C5" s="130"/>
      <c r="D5" s="1" t="s">
        <v>76</v>
      </c>
      <c r="E5" s="1" t="s">
        <v>76</v>
      </c>
      <c r="F5" s="2" t="s">
        <v>53</v>
      </c>
      <c r="G5" s="2" t="s">
        <v>53</v>
      </c>
      <c r="H5" s="14" t="s">
        <v>53</v>
      </c>
      <c r="I5" s="14"/>
      <c r="J5" s="14"/>
      <c r="K5" s="1">
        <v>14127.5</v>
      </c>
      <c r="L5" s="1">
        <v>14127.5</v>
      </c>
      <c r="M5" s="23">
        <f>131540291.343364/10000</f>
        <v>13154.029134336401</v>
      </c>
      <c r="N5" s="23">
        <f>131540291.343364/10000</f>
        <v>13154.029134336401</v>
      </c>
      <c r="O5" s="1"/>
    </row>
    <row r="6" spans="2:16" x14ac:dyDescent="0.3">
      <c r="B6" s="136"/>
      <c r="C6" s="130"/>
      <c r="D6" s="141" t="s">
        <v>79</v>
      </c>
      <c r="E6" s="1" t="s">
        <v>89</v>
      </c>
      <c r="F6" s="2"/>
      <c r="G6" s="2" t="s">
        <v>54</v>
      </c>
      <c r="H6" s="14" t="s">
        <v>54</v>
      </c>
      <c r="I6" s="14"/>
      <c r="J6" s="14"/>
      <c r="K6" s="20">
        <v>0</v>
      </c>
      <c r="L6" s="4">
        <v>101.065</v>
      </c>
      <c r="M6" s="4">
        <v>10.1065</v>
      </c>
      <c r="N6" s="18" t="s">
        <v>172</v>
      </c>
      <c r="O6" s="1"/>
    </row>
    <row r="7" spans="2:16" x14ac:dyDescent="0.3">
      <c r="B7" s="136"/>
      <c r="C7" s="130"/>
      <c r="D7" s="141"/>
      <c r="E7" s="1" t="s">
        <v>90</v>
      </c>
      <c r="F7" s="2"/>
      <c r="G7" s="2"/>
      <c r="H7" s="14" t="s">
        <v>54</v>
      </c>
      <c r="I7" s="14"/>
      <c r="J7" s="14"/>
      <c r="K7" s="20">
        <v>0</v>
      </c>
      <c r="L7" s="4">
        <v>0</v>
      </c>
      <c r="M7" s="4">
        <v>0.31339809059999996</v>
      </c>
      <c r="N7" s="18" t="s">
        <v>172</v>
      </c>
      <c r="O7" s="1"/>
    </row>
    <row r="8" spans="2:16" x14ac:dyDescent="0.3">
      <c r="B8" s="136"/>
      <c r="C8" s="130"/>
      <c r="D8" s="141"/>
      <c r="E8" s="1" t="s">
        <v>91</v>
      </c>
      <c r="F8" s="2"/>
      <c r="G8" s="2" t="s">
        <v>54</v>
      </c>
      <c r="H8" s="14" t="s">
        <v>54</v>
      </c>
      <c r="I8" s="14"/>
      <c r="J8" s="14"/>
      <c r="K8" s="20">
        <v>0</v>
      </c>
      <c r="L8" s="1">
        <v>31.416699999999999</v>
      </c>
      <c r="M8" s="1">
        <v>31.416745995199999</v>
      </c>
      <c r="N8" s="18" t="s">
        <v>172</v>
      </c>
      <c r="O8" s="1"/>
    </row>
    <row r="9" spans="2:16" x14ac:dyDescent="0.3">
      <c r="B9" s="136"/>
      <c r="C9" s="132" t="s">
        <v>177</v>
      </c>
      <c r="D9" s="4" t="s">
        <v>77</v>
      </c>
      <c r="E9" s="4" t="s">
        <v>77</v>
      </c>
      <c r="F9" s="2"/>
      <c r="G9" s="2" t="s">
        <v>53</v>
      </c>
      <c r="H9" s="14" t="s">
        <v>53</v>
      </c>
      <c r="I9" s="14"/>
      <c r="J9" s="14"/>
      <c r="K9" s="20">
        <v>0</v>
      </c>
      <c r="L9" s="21">
        <v>27672.0724871731</v>
      </c>
      <c r="M9" s="1">
        <v>19975.4830120441</v>
      </c>
      <c r="N9" s="1">
        <v>20019.7</v>
      </c>
      <c r="O9" s="1"/>
    </row>
    <row r="10" spans="2:16" x14ac:dyDescent="0.3">
      <c r="B10" s="136"/>
      <c r="C10" s="134"/>
      <c r="D10" s="4" t="s">
        <v>78</v>
      </c>
      <c r="E10" s="4" t="s">
        <v>78</v>
      </c>
      <c r="F10" s="2"/>
      <c r="G10" s="2" t="s">
        <v>53</v>
      </c>
      <c r="H10" s="14" t="s">
        <v>53</v>
      </c>
      <c r="I10" s="14"/>
      <c r="J10" s="14"/>
      <c r="K10" s="20">
        <v>0</v>
      </c>
      <c r="L10" s="17">
        <f>13962768.791017/10000</f>
        <v>1396.2768791016999</v>
      </c>
      <c r="M10" s="17">
        <f>13962768.791017/10000</f>
        <v>1396.2768791016999</v>
      </c>
      <c r="N10" s="17">
        <f>13962768.791017/10000</f>
        <v>1396.2768791016999</v>
      </c>
      <c r="O10" s="1"/>
    </row>
    <row r="11" spans="2:16" ht="198" x14ac:dyDescent="0.3">
      <c r="B11" s="136"/>
      <c r="C11" s="132" t="s">
        <v>181</v>
      </c>
      <c r="D11" s="130" t="s">
        <v>80</v>
      </c>
      <c r="E11" s="1" t="s">
        <v>173</v>
      </c>
      <c r="F11" s="2" t="s">
        <v>54</v>
      </c>
      <c r="G11" s="2"/>
      <c r="H11" s="12" t="s">
        <v>157</v>
      </c>
      <c r="I11" s="12"/>
      <c r="J11" s="12"/>
      <c r="K11" s="20">
        <v>162.86000000000001</v>
      </c>
      <c r="L11" s="1">
        <v>209.50729999999999</v>
      </c>
      <c r="M11" s="1"/>
      <c r="N11" s="17">
        <f>1628656.514743/10000</f>
        <v>162.86565147429999</v>
      </c>
      <c r="O11" s="1"/>
      <c r="P11" t="s">
        <v>175</v>
      </c>
    </row>
    <row r="12" spans="2:16" x14ac:dyDescent="0.3">
      <c r="B12" s="136"/>
      <c r="C12" s="133"/>
      <c r="D12" s="130"/>
      <c r="E12" s="1" t="s">
        <v>49</v>
      </c>
      <c r="F12" s="2" t="s">
        <v>54</v>
      </c>
      <c r="G12" s="2" t="s">
        <v>54</v>
      </c>
      <c r="H12" s="12"/>
      <c r="I12" s="12"/>
      <c r="J12" s="12"/>
      <c r="K12" s="20">
        <v>23.15</v>
      </c>
      <c r="L12" s="1">
        <v>22.186599999999999</v>
      </c>
      <c r="M12" s="1">
        <v>20.578261262000002</v>
      </c>
      <c r="N12" s="17">
        <f>220300.718218/10000</f>
        <v>22.0300718218</v>
      </c>
      <c r="O12" s="1"/>
    </row>
    <row r="13" spans="2:16" ht="115.5" x14ac:dyDescent="0.3">
      <c r="B13" s="136"/>
      <c r="C13" s="133"/>
      <c r="D13" s="130"/>
      <c r="E13" s="1" t="s">
        <v>50</v>
      </c>
      <c r="F13" s="2" t="s">
        <v>54</v>
      </c>
      <c r="G13" s="2" t="s">
        <v>54</v>
      </c>
      <c r="H13" s="12" t="s">
        <v>155</v>
      </c>
      <c r="I13" s="12"/>
      <c r="J13" s="12"/>
      <c r="K13" s="20">
        <v>66.989999999999995</v>
      </c>
      <c r="L13" s="1">
        <v>779.97910000000002</v>
      </c>
      <c r="M13" s="1">
        <v>0</v>
      </c>
      <c r="N13" s="17">
        <f>669923.627173/10000</f>
        <v>66.992362717299997</v>
      </c>
      <c r="O13" s="1"/>
      <c r="P13" t="s">
        <v>174</v>
      </c>
    </row>
    <row r="14" spans="2:16" ht="49.5" x14ac:dyDescent="0.3">
      <c r="B14" s="136"/>
      <c r="C14" s="133"/>
      <c r="D14" s="130"/>
      <c r="E14" s="1" t="s">
        <v>51</v>
      </c>
      <c r="F14" s="2" t="s">
        <v>54</v>
      </c>
      <c r="G14" s="2" t="s">
        <v>54</v>
      </c>
      <c r="H14" s="12" t="s">
        <v>153</v>
      </c>
      <c r="I14" s="12"/>
      <c r="J14" s="12"/>
      <c r="K14" s="20">
        <v>632.54999999999995</v>
      </c>
      <c r="L14" s="1">
        <v>0</v>
      </c>
      <c r="M14" s="1">
        <v>0</v>
      </c>
      <c r="N14" s="17">
        <f>6325530.430805/10000</f>
        <v>632.55304308049995</v>
      </c>
      <c r="O14" s="1"/>
    </row>
    <row r="15" spans="2:16" ht="214.5" x14ac:dyDescent="0.3">
      <c r="B15" s="136"/>
      <c r="C15" s="133"/>
      <c r="D15" s="130"/>
      <c r="E15" s="1" t="s">
        <v>92</v>
      </c>
      <c r="F15" s="2"/>
      <c r="G15" s="2" t="s">
        <v>54</v>
      </c>
      <c r="H15" s="12" t="s">
        <v>156</v>
      </c>
      <c r="I15" s="12"/>
      <c r="J15" s="12"/>
      <c r="K15" s="20">
        <v>626.96</v>
      </c>
      <c r="L15" s="1">
        <v>674.63319999999999</v>
      </c>
      <c r="M15" s="1">
        <v>0</v>
      </c>
      <c r="N15" s="17">
        <f>6269639.897946/10000</f>
        <v>626.96398979460002</v>
      </c>
      <c r="O15" s="1"/>
    </row>
    <row r="16" spans="2:16" x14ac:dyDescent="0.3">
      <c r="B16" s="136"/>
      <c r="C16" s="133"/>
      <c r="D16" s="130"/>
      <c r="E16" s="1" t="s">
        <v>93</v>
      </c>
      <c r="F16" s="2"/>
      <c r="G16" s="2" t="s">
        <v>54</v>
      </c>
      <c r="H16" s="12"/>
      <c r="I16" s="12"/>
      <c r="J16" s="12"/>
      <c r="K16" s="25" t="s">
        <v>169</v>
      </c>
      <c r="L16" s="21">
        <v>0</v>
      </c>
      <c r="M16" s="21">
        <v>0</v>
      </c>
      <c r="N16" s="26" t="s">
        <v>172</v>
      </c>
      <c r="O16" s="1"/>
    </row>
    <row r="17" spans="2:15" x14ac:dyDescent="0.3">
      <c r="B17" s="136"/>
      <c r="C17" s="133"/>
      <c r="D17" s="130"/>
      <c r="E17" s="31" t="s">
        <v>3</v>
      </c>
      <c r="F17" s="2"/>
      <c r="G17" s="2" t="s">
        <v>54</v>
      </c>
      <c r="H17" s="12"/>
      <c r="I17" s="12"/>
      <c r="J17" s="12"/>
      <c r="K17" s="25">
        <v>11.16</v>
      </c>
      <c r="L17" s="21">
        <v>48.171199999999999</v>
      </c>
      <c r="M17" s="21">
        <v>54.521279056499999</v>
      </c>
      <c r="N17" s="26" t="s">
        <v>172</v>
      </c>
      <c r="O17" s="1"/>
    </row>
    <row r="18" spans="2:15" ht="82.5" x14ac:dyDescent="0.3">
      <c r="B18" s="136"/>
      <c r="C18" s="133"/>
      <c r="D18" s="138" t="s">
        <v>81</v>
      </c>
      <c r="E18" s="1" t="s">
        <v>52</v>
      </c>
      <c r="F18" s="2" t="s">
        <v>54</v>
      </c>
      <c r="G18" s="2" t="s">
        <v>54</v>
      </c>
      <c r="H18" s="22" t="s">
        <v>154</v>
      </c>
      <c r="I18" s="12"/>
      <c r="J18" s="12"/>
      <c r="K18" s="24">
        <v>121.01</v>
      </c>
      <c r="L18" s="4">
        <v>168.72800000000001</v>
      </c>
      <c r="M18" s="4">
        <v>79.913183636300005</v>
      </c>
      <c r="N18" s="23">
        <f>799235.982039/10000</f>
        <v>79.923598203899999</v>
      </c>
      <c r="O18" s="1"/>
    </row>
    <row r="19" spans="2:15" x14ac:dyDescent="0.3">
      <c r="B19" s="136"/>
      <c r="C19" s="133"/>
      <c r="D19" s="139"/>
      <c r="E19" s="1" t="s">
        <v>56</v>
      </c>
      <c r="F19" s="2" t="s">
        <v>54</v>
      </c>
      <c r="G19" s="2" t="s">
        <v>54</v>
      </c>
      <c r="H19" s="14" t="s">
        <v>54</v>
      </c>
      <c r="I19" s="12"/>
      <c r="J19" s="12"/>
      <c r="K19" s="20">
        <v>28.8</v>
      </c>
      <c r="L19" s="1">
        <v>29.4557</v>
      </c>
      <c r="M19" s="1">
        <v>21.624443281000001</v>
      </c>
      <c r="N19" s="17">
        <f>216244.43281/10000</f>
        <v>21.624443281000001</v>
      </c>
      <c r="O19" s="1"/>
    </row>
    <row r="20" spans="2:15" x14ac:dyDescent="0.3">
      <c r="B20" s="136"/>
      <c r="C20" s="133"/>
      <c r="D20" s="139"/>
      <c r="E20" s="1" t="s">
        <v>57</v>
      </c>
      <c r="F20" s="2" t="s">
        <v>54</v>
      </c>
      <c r="G20" s="2" t="s">
        <v>54</v>
      </c>
      <c r="H20" s="14" t="s">
        <v>54</v>
      </c>
      <c r="I20" s="12"/>
      <c r="J20" s="12"/>
      <c r="K20" s="20">
        <v>5.72</v>
      </c>
      <c r="L20" s="1">
        <v>7.9751000000000003</v>
      </c>
      <c r="M20" s="1">
        <v>8.6081982562999997</v>
      </c>
      <c r="N20" s="17">
        <f>79751.761842/10000</f>
        <v>7.9751761842000004</v>
      </c>
      <c r="O20" s="1"/>
    </row>
    <row r="21" spans="2:15" x14ac:dyDescent="0.3">
      <c r="B21" s="136"/>
      <c r="C21" s="133"/>
      <c r="D21" s="139"/>
      <c r="E21" s="1" t="s">
        <v>58</v>
      </c>
      <c r="F21" s="2" t="s">
        <v>54</v>
      </c>
      <c r="G21" s="2" t="s">
        <v>54</v>
      </c>
      <c r="H21" s="14" t="s">
        <v>54</v>
      </c>
      <c r="I21" s="12"/>
      <c r="J21" s="12"/>
      <c r="K21" s="20">
        <v>18.829999999999998</v>
      </c>
      <c r="L21" s="1">
        <v>24.470800000000001</v>
      </c>
      <c r="M21" s="1">
        <v>19.843243759</v>
      </c>
      <c r="N21" s="17">
        <f>188387.607298/10000</f>
        <v>18.838760729799997</v>
      </c>
      <c r="O21" s="1"/>
    </row>
    <row r="22" spans="2:15" x14ac:dyDescent="0.3">
      <c r="B22" s="136"/>
      <c r="C22" s="133"/>
      <c r="D22" s="139"/>
      <c r="E22" s="1" t="s">
        <v>59</v>
      </c>
      <c r="F22" s="2" t="s">
        <v>54</v>
      </c>
      <c r="G22" s="2" t="s">
        <v>54</v>
      </c>
      <c r="H22" s="14" t="s">
        <v>54</v>
      </c>
      <c r="I22" s="12"/>
      <c r="J22" s="12"/>
      <c r="K22" s="20">
        <v>11.66</v>
      </c>
      <c r="L22" s="1">
        <v>11.669600000000001</v>
      </c>
      <c r="M22" s="1">
        <v>11.6697064286</v>
      </c>
      <c r="N22" s="17">
        <f>116697.081383/10000</f>
        <v>11.669708138299999</v>
      </c>
      <c r="O22" s="1"/>
    </row>
    <row r="23" spans="2:15" x14ac:dyDescent="0.3">
      <c r="B23" s="136"/>
      <c r="C23" s="133"/>
      <c r="D23" s="139"/>
      <c r="E23" s="1" t="s">
        <v>60</v>
      </c>
      <c r="F23" s="2" t="s">
        <v>54</v>
      </c>
      <c r="G23" s="2" t="s">
        <v>54</v>
      </c>
      <c r="H23" s="14" t="s">
        <v>54</v>
      </c>
      <c r="I23" s="12"/>
      <c r="J23" s="12"/>
      <c r="K23" s="20">
        <v>27.03</v>
      </c>
      <c r="L23" s="1">
        <v>27.032800000000002</v>
      </c>
      <c r="M23" s="1">
        <v>33.4319428218</v>
      </c>
      <c r="N23" s="17">
        <f>270329.068341/10000</f>
        <v>27.0329068341</v>
      </c>
      <c r="O23" s="1"/>
    </row>
    <row r="24" spans="2:15" x14ac:dyDescent="0.3">
      <c r="B24" s="136"/>
      <c r="C24" s="133"/>
      <c r="D24" s="139"/>
      <c r="E24" s="1" t="s">
        <v>61</v>
      </c>
      <c r="F24" s="2" t="s">
        <v>54</v>
      </c>
      <c r="G24" s="2" t="s">
        <v>54</v>
      </c>
      <c r="H24" s="14" t="s">
        <v>54</v>
      </c>
      <c r="I24" s="12"/>
      <c r="J24" s="12"/>
      <c r="K24" s="20">
        <v>26.2</v>
      </c>
      <c r="L24" s="1">
        <v>31.410699999999999</v>
      </c>
      <c r="M24" s="1">
        <v>29.693381556299997</v>
      </c>
      <c r="N24" s="17">
        <f>273962.682294/10000</f>
        <v>27.3962682294</v>
      </c>
      <c r="O24" s="1"/>
    </row>
    <row r="25" spans="2:15" x14ac:dyDescent="0.3">
      <c r="B25" s="136"/>
      <c r="C25" s="133"/>
      <c r="D25" s="139"/>
      <c r="E25" s="1" t="s">
        <v>62</v>
      </c>
      <c r="F25" s="2" t="s">
        <v>54</v>
      </c>
      <c r="G25" s="2" t="s">
        <v>54</v>
      </c>
      <c r="H25" s="14" t="s">
        <v>54</v>
      </c>
      <c r="I25" s="12"/>
      <c r="J25" s="12"/>
      <c r="K25" s="20">
        <v>10.86</v>
      </c>
      <c r="L25" s="1">
        <v>10.8613</v>
      </c>
      <c r="M25" s="1">
        <v>10.861336017099999</v>
      </c>
      <c r="N25" s="17">
        <f>108613.338553/10000</f>
        <v>10.8613338553</v>
      </c>
      <c r="O25" s="1"/>
    </row>
    <row r="26" spans="2:15" x14ac:dyDescent="0.3">
      <c r="B26" s="136"/>
      <c r="C26" s="133"/>
      <c r="D26" s="139"/>
      <c r="E26" s="1" t="s">
        <v>63</v>
      </c>
      <c r="F26" s="2" t="s">
        <v>54</v>
      </c>
      <c r="G26" s="2" t="s">
        <v>54</v>
      </c>
      <c r="H26" s="14" t="s">
        <v>54</v>
      </c>
      <c r="I26" s="12"/>
      <c r="J26" s="12"/>
      <c r="K26" s="20">
        <v>40.51</v>
      </c>
      <c r="L26" s="1">
        <v>40.513800000000003</v>
      </c>
      <c r="M26" s="1">
        <v>41.521944898999998</v>
      </c>
      <c r="N26" s="17">
        <f>405137.623198/10000</f>
        <v>40.513762319800001</v>
      </c>
      <c r="O26" s="1"/>
    </row>
    <row r="27" spans="2:15" x14ac:dyDescent="0.3">
      <c r="B27" s="136"/>
      <c r="C27" s="133"/>
      <c r="D27" s="139"/>
      <c r="E27" s="1" t="s">
        <v>64</v>
      </c>
      <c r="F27" s="2" t="s">
        <v>54</v>
      </c>
      <c r="G27" s="2" t="s">
        <v>54</v>
      </c>
      <c r="H27" s="14" t="s">
        <v>54</v>
      </c>
      <c r="I27" s="12"/>
      <c r="J27" s="12"/>
      <c r="K27" s="20">
        <v>151.9</v>
      </c>
      <c r="L27" s="1">
        <v>308.75639999999999</v>
      </c>
      <c r="M27" s="1">
        <v>147.85525293109998</v>
      </c>
      <c r="N27" s="17">
        <f>1480006.440002/10000</f>
        <v>148.0006440002</v>
      </c>
      <c r="O27" s="1"/>
    </row>
    <row r="28" spans="2:15" x14ac:dyDescent="0.3">
      <c r="B28" s="136"/>
      <c r="C28" s="133"/>
      <c r="D28" s="139"/>
      <c r="E28" s="1" t="s">
        <v>65</v>
      </c>
      <c r="F28" s="2" t="s">
        <v>54</v>
      </c>
      <c r="G28" s="2" t="s">
        <v>54</v>
      </c>
      <c r="H28" s="14" t="s">
        <v>54</v>
      </c>
      <c r="I28" s="12"/>
      <c r="J28" s="12"/>
      <c r="K28" s="20">
        <v>222.54</v>
      </c>
      <c r="L28" s="1">
        <v>231.5625</v>
      </c>
      <c r="M28" s="1">
        <v>222.47447835599999</v>
      </c>
      <c r="N28" s="17">
        <f>2227581.91336/10000</f>
        <v>222.75819133600001</v>
      </c>
      <c r="O28" s="1"/>
    </row>
    <row r="29" spans="2:15" x14ac:dyDescent="0.3">
      <c r="B29" s="136"/>
      <c r="C29" s="133"/>
      <c r="D29" s="139"/>
      <c r="E29" s="1" t="s">
        <v>66</v>
      </c>
      <c r="F29" s="2" t="s">
        <v>54</v>
      </c>
      <c r="G29" s="2" t="s">
        <v>54</v>
      </c>
      <c r="H29" s="14" t="s">
        <v>54</v>
      </c>
      <c r="I29" s="12"/>
      <c r="J29" s="12"/>
      <c r="K29" s="20">
        <v>58.88</v>
      </c>
      <c r="L29" s="1">
        <v>64.606200000000001</v>
      </c>
      <c r="M29" s="1">
        <v>62.167236724699997</v>
      </c>
      <c r="N29" s="17">
        <f>588878.299843/10000</f>
        <v>58.887829984300005</v>
      </c>
      <c r="O29" s="1"/>
    </row>
    <row r="30" spans="2:15" x14ac:dyDescent="0.3">
      <c r="B30" s="136"/>
      <c r="C30" s="133"/>
      <c r="D30" s="139"/>
      <c r="E30" s="1" t="s">
        <v>96</v>
      </c>
      <c r="F30" s="2"/>
      <c r="G30" s="2"/>
      <c r="H30" s="14" t="s">
        <v>54</v>
      </c>
      <c r="I30" s="12"/>
      <c r="J30" s="12"/>
      <c r="K30" s="20">
        <v>0</v>
      </c>
      <c r="L30" s="4">
        <v>0</v>
      </c>
      <c r="M30" s="4">
        <v>95.568606313400011</v>
      </c>
      <c r="N30" s="23">
        <f>332077.911444/10000</f>
        <v>33.207791144400005</v>
      </c>
      <c r="O30" s="4"/>
    </row>
    <row r="31" spans="2:15" x14ac:dyDescent="0.3">
      <c r="B31" s="136"/>
      <c r="C31" s="133"/>
      <c r="D31" s="139"/>
      <c r="E31" s="1" t="s">
        <v>97</v>
      </c>
      <c r="F31" s="2"/>
      <c r="G31" s="2" t="s">
        <v>54</v>
      </c>
      <c r="H31" s="14" t="s">
        <v>54</v>
      </c>
      <c r="I31" s="12"/>
      <c r="J31" s="12"/>
      <c r="K31" s="20">
        <v>0</v>
      </c>
      <c r="L31" s="1">
        <v>5.8974000000000002</v>
      </c>
      <c r="M31" s="1">
        <v>3.4138241747000002</v>
      </c>
      <c r="N31" s="17">
        <f>34138.244003/10000</f>
        <v>3.4138244002999998</v>
      </c>
      <c r="O31" s="1"/>
    </row>
    <row r="32" spans="2:15" x14ac:dyDescent="0.3">
      <c r="B32" s="136"/>
      <c r="C32" s="133"/>
      <c r="D32" s="140"/>
      <c r="E32" s="1" t="s">
        <v>98</v>
      </c>
      <c r="F32" s="2"/>
      <c r="G32" s="2" t="s">
        <v>54</v>
      </c>
      <c r="H32" s="14" t="s">
        <v>54</v>
      </c>
      <c r="I32" s="12"/>
      <c r="J32" s="12"/>
      <c r="K32" s="20">
        <v>0</v>
      </c>
      <c r="L32" s="1">
        <v>7.7694000000000001</v>
      </c>
      <c r="M32" s="1">
        <v>7.7524823717000011</v>
      </c>
      <c r="N32" s="17">
        <f>77524.839934/10000</f>
        <v>7.7524839934000003</v>
      </c>
      <c r="O32" s="1"/>
    </row>
    <row r="33" spans="2:15" ht="66" x14ac:dyDescent="0.3">
      <c r="B33" s="136"/>
      <c r="C33" s="133"/>
      <c r="D33" s="138" t="s">
        <v>82</v>
      </c>
      <c r="E33" s="31" t="s">
        <v>3</v>
      </c>
      <c r="F33" s="2" t="s">
        <v>54</v>
      </c>
      <c r="G33" s="2"/>
      <c r="H33" s="12" t="s">
        <v>133</v>
      </c>
      <c r="I33" s="12"/>
      <c r="J33" s="12"/>
      <c r="K33" s="20">
        <v>11.16</v>
      </c>
      <c r="L33" s="1">
        <v>0</v>
      </c>
      <c r="M33" s="1">
        <v>0</v>
      </c>
      <c r="N33" s="17">
        <f>111651.5888/10000</f>
        <v>11.16515888</v>
      </c>
      <c r="O33" s="1"/>
    </row>
    <row r="34" spans="2:15" ht="82.5" x14ac:dyDescent="0.3">
      <c r="B34" s="136"/>
      <c r="C34" s="133"/>
      <c r="D34" s="139"/>
      <c r="E34" s="1" t="s">
        <v>4</v>
      </c>
      <c r="F34" s="2" t="s">
        <v>54</v>
      </c>
      <c r="G34" s="2" t="s">
        <v>54</v>
      </c>
      <c r="H34" s="12" t="s">
        <v>140</v>
      </c>
      <c r="I34" s="12"/>
      <c r="J34" s="12"/>
      <c r="K34" s="20">
        <v>91.51</v>
      </c>
      <c r="L34" s="1">
        <v>91.481499999999997</v>
      </c>
      <c r="M34" s="1">
        <v>0</v>
      </c>
      <c r="N34" s="17">
        <f>915164.987859/10000</f>
        <v>91.516498785899998</v>
      </c>
      <c r="O34" s="1"/>
    </row>
    <row r="35" spans="2:15" ht="33" x14ac:dyDescent="0.3">
      <c r="B35" s="136"/>
      <c r="C35" s="133"/>
      <c r="D35" s="139"/>
      <c r="E35" s="30" t="s">
        <v>5</v>
      </c>
      <c r="F35" s="2" t="s">
        <v>54</v>
      </c>
      <c r="G35" s="2"/>
      <c r="H35" s="12" t="s">
        <v>125</v>
      </c>
      <c r="I35" s="12"/>
      <c r="J35" s="12"/>
      <c r="K35" s="20">
        <v>179.13</v>
      </c>
      <c r="L35" s="1">
        <v>0</v>
      </c>
      <c r="M35" s="1">
        <v>0</v>
      </c>
      <c r="N35" s="17">
        <f>1791336.079319/10000</f>
        <v>179.1336079319</v>
      </c>
      <c r="O35" s="1"/>
    </row>
    <row r="36" spans="2:15" ht="33" x14ac:dyDescent="0.3">
      <c r="B36" s="136"/>
      <c r="C36" s="133"/>
      <c r="D36" s="139"/>
      <c r="E36" s="30" t="s">
        <v>6</v>
      </c>
      <c r="F36" s="2" t="s">
        <v>54</v>
      </c>
      <c r="G36" s="2"/>
      <c r="H36" s="12" t="s">
        <v>123</v>
      </c>
      <c r="I36" s="12"/>
      <c r="J36" s="12"/>
      <c r="K36" s="20">
        <v>621.80999999999995</v>
      </c>
      <c r="L36" s="1">
        <v>0</v>
      </c>
      <c r="M36" s="1">
        <v>0</v>
      </c>
      <c r="N36" s="17">
        <f>6218110.60088/10000</f>
        <v>621.81106008799998</v>
      </c>
      <c r="O36" s="1"/>
    </row>
    <row r="37" spans="2:15" ht="49.5" x14ac:dyDescent="0.3">
      <c r="B37" s="136"/>
      <c r="C37" s="133"/>
      <c r="D37" s="139"/>
      <c r="E37" s="1" t="s">
        <v>7</v>
      </c>
      <c r="F37" s="2" t="s">
        <v>54</v>
      </c>
      <c r="G37" s="2"/>
      <c r="H37" s="12" t="s">
        <v>132</v>
      </c>
      <c r="I37" s="12"/>
      <c r="J37" s="12"/>
      <c r="K37" s="20">
        <v>190.45</v>
      </c>
      <c r="L37" s="1">
        <v>0</v>
      </c>
      <c r="M37" s="1">
        <v>0</v>
      </c>
      <c r="N37" s="17">
        <f>1904498.389546/10000</f>
        <v>190.44983895459998</v>
      </c>
      <c r="O37" s="1"/>
    </row>
    <row r="38" spans="2:15" ht="132" x14ac:dyDescent="0.3">
      <c r="B38" s="136"/>
      <c r="C38" s="133"/>
      <c r="D38" s="139"/>
      <c r="E38" s="1" t="s">
        <v>8</v>
      </c>
      <c r="F38" s="2" t="s">
        <v>54</v>
      </c>
      <c r="G38" s="2"/>
      <c r="H38" s="12" t="s">
        <v>135</v>
      </c>
      <c r="I38" s="12"/>
      <c r="J38" s="12"/>
      <c r="K38" s="20">
        <v>79.13</v>
      </c>
      <c r="L38" s="1">
        <v>0</v>
      </c>
      <c r="M38" s="1">
        <v>0</v>
      </c>
      <c r="N38" s="17">
        <f>1009884.144908/10000</f>
        <v>100.9884144908</v>
      </c>
      <c r="O38" s="1"/>
    </row>
    <row r="39" spans="2:15" ht="148.5" x14ac:dyDescent="0.3">
      <c r="B39" s="136"/>
      <c r="C39" s="133"/>
      <c r="D39" s="139"/>
      <c r="E39" s="1" t="s">
        <v>9</v>
      </c>
      <c r="F39" s="2" t="s">
        <v>54</v>
      </c>
      <c r="G39" s="2"/>
      <c r="H39" s="12" t="s">
        <v>148</v>
      </c>
      <c r="I39" s="12"/>
      <c r="J39" s="12"/>
      <c r="K39" s="20">
        <v>29.31</v>
      </c>
      <c r="L39" s="1">
        <v>0</v>
      </c>
      <c r="M39" s="1">
        <v>0</v>
      </c>
      <c r="N39" s="17">
        <f>293182.599389/10000</f>
        <v>29.318259938899999</v>
      </c>
      <c r="O39" s="1"/>
    </row>
    <row r="40" spans="2:15" ht="82.5" x14ac:dyDescent="0.3">
      <c r="B40" s="136"/>
      <c r="C40" s="133"/>
      <c r="D40" s="139"/>
      <c r="E40" s="1" t="s">
        <v>10</v>
      </c>
      <c r="F40" s="2" t="s">
        <v>54</v>
      </c>
      <c r="G40" s="2" t="s">
        <v>54</v>
      </c>
      <c r="H40" s="12" t="s">
        <v>140</v>
      </c>
      <c r="I40" s="12"/>
      <c r="J40" s="12"/>
      <c r="K40" s="20">
        <v>51.69</v>
      </c>
      <c r="L40" s="1">
        <v>51.697400000000002</v>
      </c>
      <c r="M40" s="1">
        <v>0</v>
      </c>
      <c r="N40" s="17">
        <f>516973.375877/10000</f>
        <v>51.697337587699998</v>
      </c>
      <c r="O40" s="1"/>
    </row>
    <row r="41" spans="2:15" ht="33" x14ac:dyDescent="0.3">
      <c r="B41" s="136"/>
      <c r="C41" s="133"/>
      <c r="D41" s="139"/>
      <c r="E41" s="30" t="s">
        <v>11</v>
      </c>
      <c r="F41" s="2" t="s">
        <v>54</v>
      </c>
      <c r="G41" s="2"/>
      <c r="H41" s="12" t="s">
        <v>125</v>
      </c>
      <c r="I41" s="12"/>
      <c r="J41" s="12"/>
      <c r="K41" s="20">
        <v>178.94</v>
      </c>
      <c r="L41" s="1">
        <v>0</v>
      </c>
      <c r="M41" s="1">
        <v>0</v>
      </c>
      <c r="N41" s="17">
        <f>1789432.388363/10000</f>
        <v>178.9432388363</v>
      </c>
      <c r="O41" s="1"/>
    </row>
    <row r="42" spans="2:15" ht="33" x14ac:dyDescent="0.3">
      <c r="B42" s="136"/>
      <c r="C42" s="133"/>
      <c r="D42" s="139"/>
      <c r="E42" s="30" t="s">
        <v>12</v>
      </c>
      <c r="F42" s="2" t="s">
        <v>54</v>
      </c>
      <c r="G42" s="2"/>
      <c r="H42" s="12" t="s">
        <v>123</v>
      </c>
      <c r="I42" s="12"/>
      <c r="J42" s="12"/>
      <c r="K42" s="20">
        <v>165.43</v>
      </c>
      <c r="L42" s="1">
        <v>0</v>
      </c>
      <c r="M42" s="1">
        <v>0</v>
      </c>
      <c r="N42" s="17">
        <f>1654313.844133/10000</f>
        <v>165.43138441329998</v>
      </c>
      <c r="O42" s="1"/>
    </row>
    <row r="43" spans="2:15" ht="33" x14ac:dyDescent="0.3">
      <c r="B43" s="136"/>
      <c r="C43" s="133"/>
      <c r="D43" s="139"/>
      <c r="E43" s="30" t="s">
        <v>13</v>
      </c>
      <c r="F43" s="2" t="s">
        <v>54</v>
      </c>
      <c r="G43" s="2"/>
      <c r="H43" s="12" t="s">
        <v>123</v>
      </c>
      <c r="I43" s="12"/>
      <c r="J43" s="12"/>
      <c r="K43" s="20">
        <v>405.9</v>
      </c>
      <c r="L43" s="1">
        <v>0</v>
      </c>
      <c r="M43" s="1">
        <v>0</v>
      </c>
      <c r="N43" s="17">
        <f>4059057.528865/10000</f>
        <v>405.90575288650001</v>
      </c>
      <c r="O43" s="1"/>
    </row>
    <row r="44" spans="2:15" ht="198" x14ac:dyDescent="0.3">
      <c r="B44" s="136"/>
      <c r="C44" s="133"/>
      <c r="D44" s="139"/>
      <c r="E44" s="1" t="s">
        <v>14</v>
      </c>
      <c r="F44" s="2" t="s">
        <v>54</v>
      </c>
      <c r="G44" s="2"/>
      <c r="H44" s="12" t="s">
        <v>141</v>
      </c>
      <c r="I44" s="12"/>
      <c r="J44" s="12"/>
      <c r="K44" s="20">
        <v>187.45</v>
      </c>
      <c r="L44" s="1">
        <v>0</v>
      </c>
      <c r="M44" s="1">
        <v>0</v>
      </c>
      <c r="N44" s="17">
        <f>1874564.797904/10000</f>
        <v>187.45647979039998</v>
      </c>
      <c r="O44" s="1"/>
    </row>
    <row r="45" spans="2:15" ht="33" x14ac:dyDescent="0.3">
      <c r="B45" s="136"/>
      <c r="C45" s="133"/>
      <c r="D45" s="139"/>
      <c r="E45" s="1" t="s">
        <v>15</v>
      </c>
      <c r="F45" s="2" t="s">
        <v>54</v>
      </c>
      <c r="G45" s="2" t="s">
        <v>54</v>
      </c>
      <c r="H45" s="12" t="s">
        <v>126</v>
      </c>
      <c r="I45" s="12"/>
      <c r="J45" s="12"/>
      <c r="K45" s="20">
        <v>47.24</v>
      </c>
      <c r="L45" s="1">
        <v>47.247199999999999</v>
      </c>
      <c r="M45" s="1">
        <v>0</v>
      </c>
      <c r="N45" s="17">
        <f>472470.895575/10000</f>
        <v>47.247089557499997</v>
      </c>
      <c r="O45" s="1"/>
    </row>
    <row r="46" spans="2:15" ht="115.5" x14ac:dyDescent="0.3">
      <c r="B46" s="136"/>
      <c r="C46" s="133"/>
      <c r="D46" s="139"/>
      <c r="E46" s="1" t="s">
        <v>16</v>
      </c>
      <c r="F46" s="2" t="s">
        <v>54</v>
      </c>
      <c r="G46" s="2" t="s">
        <v>54</v>
      </c>
      <c r="H46" s="12" t="s">
        <v>139</v>
      </c>
      <c r="I46" s="12"/>
      <c r="J46" s="12"/>
      <c r="K46" s="20">
        <v>185.74</v>
      </c>
      <c r="L46" s="1">
        <v>185.7474</v>
      </c>
      <c r="M46" s="1">
        <v>0</v>
      </c>
      <c r="N46" s="17">
        <f>1857469.837977/10000</f>
        <v>185.74698379770001</v>
      </c>
      <c r="O46" s="1"/>
    </row>
    <row r="47" spans="2:15" ht="33" x14ac:dyDescent="0.3">
      <c r="B47" s="136"/>
      <c r="C47" s="133"/>
      <c r="D47" s="139"/>
      <c r="E47" s="30" t="s">
        <v>17</v>
      </c>
      <c r="F47" s="2" t="s">
        <v>54</v>
      </c>
      <c r="G47" s="2"/>
      <c r="H47" s="12" t="s">
        <v>125</v>
      </c>
      <c r="I47" s="12"/>
      <c r="J47" s="12"/>
      <c r="K47" s="20">
        <v>406.13</v>
      </c>
      <c r="L47" s="1">
        <v>0</v>
      </c>
      <c r="M47" s="1">
        <v>0</v>
      </c>
      <c r="N47" s="17">
        <f>4061347.547274/10000</f>
        <v>406.13475472739998</v>
      </c>
      <c r="O47" s="1"/>
    </row>
    <row r="48" spans="2:15" ht="33" x14ac:dyDescent="0.3">
      <c r="B48" s="136"/>
      <c r="C48" s="133"/>
      <c r="D48" s="139"/>
      <c r="E48" s="30" t="s">
        <v>18</v>
      </c>
      <c r="F48" s="2" t="s">
        <v>54</v>
      </c>
      <c r="G48" s="2"/>
      <c r="H48" s="12" t="s">
        <v>123</v>
      </c>
      <c r="I48" s="12"/>
      <c r="J48" s="12"/>
      <c r="K48" s="20">
        <v>194.07</v>
      </c>
      <c r="L48" s="1">
        <v>0</v>
      </c>
      <c r="M48" s="1">
        <v>0</v>
      </c>
      <c r="N48" s="17">
        <f>1940792.958233/10000</f>
        <v>194.07929582330001</v>
      </c>
      <c r="O48" s="1"/>
    </row>
    <row r="49" spans="2:15" ht="33" x14ac:dyDescent="0.3">
      <c r="B49" s="136"/>
      <c r="C49" s="133"/>
      <c r="D49" s="139"/>
      <c r="E49" s="30" t="s">
        <v>19</v>
      </c>
      <c r="F49" s="2" t="s">
        <v>54</v>
      </c>
      <c r="G49" s="2"/>
      <c r="H49" s="12" t="s">
        <v>123</v>
      </c>
      <c r="I49" s="12"/>
      <c r="J49" s="12"/>
      <c r="K49" s="20">
        <v>189.79</v>
      </c>
      <c r="L49" s="1">
        <v>0</v>
      </c>
      <c r="M49" s="1">
        <v>0</v>
      </c>
      <c r="N49" s="17">
        <f>1981729.00371/10000</f>
        <v>198.172900371</v>
      </c>
      <c r="O49" s="1"/>
    </row>
    <row r="50" spans="2:15" ht="115.5" x14ac:dyDescent="0.3">
      <c r="B50" s="136"/>
      <c r="C50" s="133"/>
      <c r="D50" s="139"/>
      <c r="E50" s="1" t="s">
        <v>20</v>
      </c>
      <c r="F50" s="2" t="s">
        <v>54</v>
      </c>
      <c r="G50" s="2"/>
      <c r="H50" s="12" t="s">
        <v>134</v>
      </c>
      <c r="I50" s="12"/>
      <c r="J50" s="12"/>
      <c r="K50" s="20">
        <v>50.74</v>
      </c>
      <c r="L50" s="1">
        <v>0</v>
      </c>
      <c r="M50" s="1">
        <v>0</v>
      </c>
      <c r="N50" s="17">
        <f>507482.607588/10000</f>
        <v>50.748260758800001</v>
      </c>
      <c r="O50" s="1"/>
    </row>
    <row r="51" spans="2:15" ht="49.5" x14ac:dyDescent="0.3">
      <c r="B51" s="136"/>
      <c r="C51" s="133"/>
      <c r="D51" s="139"/>
      <c r="E51" s="1" t="s">
        <v>21</v>
      </c>
      <c r="F51" s="2" t="s">
        <v>54</v>
      </c>
      <c r="G51" s="2" t="s">
        <v>54</v>
      </c>
      <c r="H51" s="12" t="s">
        <v>137</v>
      </c>
      <c r="I51" s="12"/>
      <c r="J51" s="12"/>
      <c r="K51" s="20">
        <v>10.119999999999999</v>
      </c>
      <c r="L51" s="1">
        <v>10.1012</v>
      </c>
      <c r="M51" s="1">
        <v>0</v>
      </c>
      <c r="N51" s="17">
        <f>101225.007038/10000</f>
        <v>10.1225007038</v>
      </c>
      <c r="O51" s="1"/>
    </row>
    <row r="52" spans="2:15" ht="49.5" x14ac:dyDescent="0.3">
      <c r="B52" s="136"/>
      <c r="C52" s="133"/>
      <c r="D52" s="139"/>
      <c r="E52" s="1" t="s">
        <v>22</v>
      </c>
      <c r="F52" s="2" t="s">
        <v>54</v>
      </c>
      <c r="G52" s="2" t="s">
        <v>54</v>
      </c>
      <c r="H52" s="12" t="s">
        <v>137</v>
      </c>
      <c r="I52" s="12"/>
      <c r="J52" s="12"/>
      <c r="K52" s="20">
        <v>60.79</v>
      </c>
      <c r="L52" s="1">
        <v>60.796500000000002</v>
      </c>
      <c r="M52" s="1">
        <v>0</v>
      </c>
      <c r="N52" s="17">
        <f>607964.054036/10000</f>
        <v>60.796405403600005</v>
      </c>
      <c r="O52" s="1"/>
    </row>
    <row r="53" spans="2:15" ht="33" x14ac:dyDescent="0.3">
      <c r="B53" s="136"/>
      <c r="C53" s="133"/>
      <c r="D53" s="139"/>
      <c r="E53" s="1" t="s">
        <v>23</v>
      </c>
      <c r="F53" s="2" t="s">
        <v>54</v>
      </c>
      <c r="G53" s="2" t="s">
        <v>54</v>
      </c>
      <c r="H53" s="12" t="s">
        <v>128</v>
      </c>
      <c r="I53" s="12"/>
      <c r="J53" s="12"/>
      <c r="K53" s="20">
        <v>16.760000000000002</v>
      </c>
      <c r="L53" s="1">
        <v>159.3681</v>
      </c>
      <c r="M53" s="1">
        <v>0</v>
      </c>
      <c r="N53" s="17">
        <f>1593677.673229/10000</f>
        <v>159.36776732289999</v>
      </c>
      <c r="O53" s="1"/>
    </row>
    <row r="54" spans="2:15" ht="165" x14ac:dyDescent="0.3">
      <c r="B54" s="136"/>
      <c r="C54" s="133"/>
      <c r="D54" s="139"/>
      <c r="E54" s="1" t="s">
        <v>24</v>
      </c>
      <c r="F54" s="2" t="s">
        <v>54</v>
      </c>
      <c r="G54" s="2"/>
      <c r="H54" s="12" t="s">
        <v>143</v>
      </c>
      <c r="I54" s="12"/>
      <c r="J54" s="12"/>
      <c r="K54" s="20">
        <v>774.71</v>
      </c>
      <c r="L54" s="1">
        <v>0</v>
      </c>
      <c r="M54" s="1">
        <v>0</v>
      </c>
      <c r="N54" s="17">
        <f>7747158.488753/10000</f>
        <v>774.71584887530003</v>
      </c>
      <c r="O54" s="1"/>
    </row>
    <row r="55" spans="2:15" ht="33" x14ac:dyDescent="0.3">
      <c r="B55" s="136"/>
      <c r="C55" s="133"/>
      <c r="D55" s="139"/>
      <c r="E55" s="30" t="s">
        <v>25</v>
      </c>
      <c r="F55" s="2" t="s">
        <v>54</v>
      </c>
      <c r="G55" s="2"/>
      <c r="H55" s="12" t="s">
        <v>123</v>
      </c>
      <c r="I55" s="12"/>
      <c r="J55" s="12"/>
      <c r="K55" s="20">
        <v>315.69</v>
      </c>
      <c r="L55" s="1">
        <v>0</v>
      </c>
      <c r="M55" s="1">
        <v>0</v>
      </c>
      <c r="N55" s="17">
        <f>3156920.990837/10000</f>
        <v>315.69209908369999</v>
      </c>
      <c r="O55" s="1"/>
    </row>
    <row r="56" spans="2:15" ht="53.25" customHeight="1" x14ac:dyDescent="0.3">
      <c r="B56" s="136"/>
      <c r="C56" s="133"/>
      <c r="D56" s="139"/>
      <c r="E56" s="1" t="s">
        <v>26</v>
      </c>
      <c r="F56" s="2" t="s">
        <v>54</v>
      </c>
      <c r="G56" s="2"/>
      <c r="H56" s="12" t="s">
        <v>127</v>
      </c>
      <c r="I56" s="12"/>
      <c r="J56" s="12"/>
      <c r="K56" s="20">
        <v>9.61</v>
      </c>
      <c r="L56" s="1">
        <v>0</v>
      </c>
      <c r="M56" s="1">
        <v>0</v>
      </c>
      <c r="N56" s="17">
        <f>96174.680938/10000</f>
        <v>9.6174680938000012</v>
      </c>
      <c r="O56" s="1"/>
    </row>
    <row r="57" spans="2:15" ht="33" x14ac:dyDescent="0.3">
      <c r="B57" s="136"/>
      <c r="C57" s="133"/>
      <c r="D57" s="139"/>
      <c r="E57" s="1" t="s">
        <v>27</v>
      </c>
      <c r="F57" s="2" t="s">
        <v>54</v>
      </c>
      <c r="G57" s="2" t="s">
        <v>54</v>
      </c>
      <c r="H57" s="12" t="s">
        <v>126</v>
      </c>
      <c r="I57" s="12"/>
      <c r="J57" s="12"/>
      <c r="K57" s="20">
        <v>69.209999999999994</v>
      </c>
      <c r="L57" s="1">
        <v>68.725700000000003</v>
      </c>
      <c r="M57" s="1">
        <v>0</v>
      </c>
      <c r="N57" s="17">
        <f>692150.692893/10000</f>
        <v>69.215069289300004</v>
      </c>
      <c r="O57" s="1"/>
    </row>
    <row r="58" spans="2:15" ht="115.5" x14ac:dyDescent="0.3">
      <c r="B58" s="136"/>
      <c r="C58" s="133"/>
      <c r="D58" s="139"/>
      <c r="E58" s="1" t="s">
        <v>28</v>
      </c>
      <c r="F58" s="2" t="s">
        <v>54</v>
      </c>
      <c r="G58" s="2" t="s">
        <v>54</v>
      </c>
      <c r="H58" s="12" t="s">
        <v>138</v>
      </c>
      <c r="I58" s="12"/>
      <c r="J58" s="12"/>
      <c r="K58" s="20">
        <v>164.15</v>
      </c>
      <c r="L58" s="1">
        <v>163.65110000000001</v>
      </c>
      <c r="M58" s="1">
        <v>0</v>
      </c>
      <c r="N58" s="17">
        <f>1641564.474253/10000</f>
        <v>164.1564474253</v>
      </c>
      <c r="O58" s="1"/>
    </row>
    <row r="59" spans="2:15" ht="148.5" x14ac:dyDescent="0.3">
      <c r="B59" s="136"/>
      <c r="C59" s="133"/>
      <c r="D59" s="139"/>
      <c r="E59" s="1" t="s">
        <v>29</v>
      </c>
      <c r="F59" s="2" t="s">
        <v>54</v>
      </c>
      <c r="G59" s="2" t="s">
        <v>54</v>
      </c>
      <c r="H59" s="12" t="s">
        <v>144</v>
      </c>
      <c r="I59" s="12"/>
      <c r="J59" s="12"/>
      <c r="K59" s="20">
        <v>2431.4499999999998</v>
      </c>
      <c r="L59" s="1">
        <v>2316.7586999999999</v>
      </c>
      <c r="M59" s="1">
        <v>0</v>
      </c>
      <c r="N59" s="17">
        <f>24314443.929101/10000</f>
        <v>2431.4443929101003</v>
      </c>
      <c r="O59" s="1"/>
    </row>
    <row r="60" spans="2:15" ht="33" x14ac:dyDescent="0.3">
      <c r="B60" s="136"/>
      <c r="C60" s="133"/>
      <c r="D60" s="139"/>
      <c r="E60" s="30" t="s">
        <v>30</v>
      </c>
      <c r="F60" s="2" t="s">
        <v>54</v>
      </c>
      <c r="G60" s="2"/>
      <c r="H60" s="12" t="s">
        <v>123</v>
      </c>
      <c r="I60" s="12"/>
      <c r="J60" s="12"/>
      <c r="K60" s="20">
        <v>287.58999999999997</v>
      </c>
      <c r="L60" s="1">
        <v>0</v>
      </c>
      <c r="M60" s="1">
        <v>0</v>
      </c>
      <c r="N60" s="17">
        <f>2875912.742074/10000</f>
        <v>287.59127420740003</v>
      </c>
      <c r="O60" s="1"/>
    </row>
    <row r="61" spans="2:15" ht="132" x14ac:dyDescent="0.3">
      <c r="B61" s="136"/>
      <c r="C61" s="133"/>
      <c r="D61" s="139"/>
      <c r="E61" s="1" t="s">
        <v>55</v>
      </c>
      <c r="F61" s="2" t="s">
        <v>54</v>
      </c>
      <c r="G61" s="2"/>
      <c r="H61" s="12" t="s">
        <v>142</v>
      </c>
      <c r="I61" s="12"/>
      <c r="J61" s="12"/>
      <c r="K61" s="20">
        <v>428.62</v>
      </c>
      <c r="L61" s="1">
        <v>0</v>
      </c>
      <c r="M61" s="1">
        <v>0</v>
      </c>
      <c r="N61" s="17">
        <f>4286251.869481/10000</f>
        <v>428.62518694810001</v>
      </c>
      <c r="O61" s="1"/>
    </row>
    <row r="62" spans="2:15" ht="132" x14ac:dyDescent="0.3">
      <c r="B62" s="136"/>
      <c r="C62" s="133"/>
      <c r="D62" s="139"/>
      <c r="E62" s="1" t="s">
        <v>31</v>
      </c>
      <c r="F62" s="2" t="s">
        <v>54</v>
      </c>
      <c r="G62" s="2"/>
      <c r="H62" s="12" t="s">
        <v>146</v>
      </c>
      <c r="I62" s="12"/>
      <c r="J62" s="12"/>
      <c r="K62" s="20">
        <v>253.92</v>
      </c>
      <c r="L62" s="1">
        <v>0</v>
      </c>
      <c r="M62" s="1">
        <v>0</v>
      </c>
      <c r="N62" s="17">
        <f>2539231.926943/10000</f>
        <v>253.92319269429998</v>
      </c>
      <c r="O62" s="1"/>
    </row>
    <row r="63" spans="2:15" ht="33" x14ac:dyDescent="0.3">
      <c r="B63" s="136"/>
      <c r="C63" s="133"/>
      <c r="D63" s="139"/>
      <c r="E63" s="1" t="s">
        <v>32</v>
      </c>
      <c r="F63" s="2" t="s">
        <v>54</v>
      </c>
      <c r="G63" s="2" t="s">
        <v>54</v>
      </c>
      <c r="H63" s="12" t="s">
        <v>126</v>
      </c>
      <c r="I63" s="12"/>
      <c r="J63" s="12"/>
      <c r="K63" s="20">
        <v>34.75</v>
      </c>
      <c r="L63" s="1">
        <v>34.755600000000001</v>
      </c>
      <c r="M63" s="1">
        <v>0</v>
      </c>
      <c r="N63" s="17">
        <f>347555.252522/10000</f>
        <v>34.755525252200002</v>
      </c>
      <c r="O63" s="1"/>
    </row>
    <row r="64" spans="2:15" ht="33" x14ac:dyDescent="0.3">
      <c r="B64" s="136"/>
      <c r="C64" s="133"/>
      <c r="D64" s="139"/>
      <c r="E64" s="1" t="s">
        <v>33</v>
      </c>
      <c r="F64" s="2" t="s">
        <v>54</v>
      </c>
      <c r="G64" s="2" t="s">
        <v>54</v>
      </c>
      <c r="H64" s="12" t="s">
        <v>131</v>
      </c>
      <c r="I64" s="12"/>
      <c r="J64" s="12"/>
      <c r="K64" s="20">
        <v>10.34</v>
      </c>
      <c r="L64" s="1">
        <v>10.3446</v>
      </c>
      <c r="M64" s="1">
        <v>0</v>
      </c>
      <c r="N64" s="17">
        <f>103445.859472/10000</f>
        <v>10.344585947199999</v>
      </c>
      <c r="O64" s="1"/>
    </row>
    <row r="65" spans="2:15" ht="132" x14ac:dyDescent="0.3">
      <c r="B65" s="136"/>
      <c r="C65" s="133"/>
      <c r="D65" s="139"/>
      <c r="E65" s="1" t="s">
        <v>34</v>
      </c>
      <c r="F65" s="2" t="s">
        <v>54</v>
      </c>
      <c r="G65" s="2" t="s">
        <v>54</v>
      </c>
      <c r="H65" s="12" t="s">
        <v>145</v>
      </c>
      <c r="I65" s="12"/>
      <c r="J65" s="12"/>
      <c r="K65" s="20">
        <v>320.41000000000003</v>
      </c>
      <c r="L65" s="1">
        <v>320.39370000000002</v>
      </c>
      <c r="M65" s="1">
        <v>0</v>
      </c>
      <c r="N65" s="17">
        <f>3204153.362424/10000</f>
        <v>320.41533624240003</v>
      </c>
      <c r="O65" s="1"/>
    </row>
    <row r="66" spans="2:15" ht="33" x14ac:dyDescent="0.3">
      <c r="B66" s="136"/>
      <c r="C66" s="133"/>
      <c r="D66" s="139"/>
      <c r="E66" s="30" t="s">
        <v>35</v>
      </c>
      <c r="F66" s="2" t="s">
        <v>54</v>
      </c>
      <c r="G66" s="2"/>
      <c r="H66" s="12" t="s">
        <v>123</v>
      </c>
      <c r="I66" s="12"/>
      <c r="J66" s="12"/>
      <c r="K66" s="20">
        <v>145.78</v>
      </c>
      <c r="L66" s="1">
        <v>0</v>
      </c>
      <c r="M66" s="1">
        <v>0</v>
      </c>
      <c r="N66" s="17">
        <f>1457867.332415/10000</f>
        <v>145.7867332415</v>
      </c>
      <c r="O66" s="1"/>
    </row>
    <row r="67" spans="2:15" ht="33" x14ac:dyDescent="0.3">
      <c r="B67" s="136"/>
      <c r="C67" s="133"/>
      <c r="D67" s="139"/>
      <c r="E67" s="30" t="s">
        <v>36</v>
      </c>
      <c r="F67" s="2" t="s">
        <v>54</v>
      </c>
      <c r="G67" s="2"/>
      <c r="H67" s="12" t="s">
        <v>123</v>
      </c>
      <c r="I67" s="12"/>
      <c r="J67" s="12"/>
      <c r="K67" s="20">
        <v>194.34</v>
      </c>
      <c r="L67" s="1">
        <v>0</v>
      </c>
      <c r="M67" s="1">
        <v>0</v>
      </c>
      <c r="N67" s="17">
        <f>1943397.213714/10000</f>
        <v>194.3397213714</v>
      </c>
      <c r="O67" s="1"/>
    </row>
    <row r="68" spans="2:15" ht="132" x14ac:dyDescent="0.3">
      <c r="B68" s="136"/>
      <c r="C68" s="133"/>
      <c r="D68" s="139"/>
      <c r="E68" s="1" t="s">
        <v>37</v>
      </c>
      <c r="F68" s="2" t="s">
        <v>54</v>
      </c>
      <c r="G68" s="2"/>
      <c r="H68" s="12" t="s">
        <v>149</v>
      </c>
      <c r="I68" s="12"/>
      <c r="J68" s="12"/>
      <c r="K68" s="20">
        <v>9.0500000000000007</v>
      </c>
      <c r="L68" s="1">
        <v>0</v>
      </c>
      <c r="M68" s="1">
        <v>0</v>
      </c>
      <c r="N68" s="17">
        <f>90500.739464/10000</f>
        <v>9.0500739463999995</v>
      </c>
      <c r="O68" s="1"/>
    </row>
    <row r="69" spans="2:15" ht="115.5" x14ac:dyDescent="0.3">
      <c r="B69" s="136"/>
      <c r="C69" s="133"/>
      <c r="D69" s="139"/>
      <c r="E69" s="1" t="s">
        <v>38</v>
      </c>
      <c r="F69" s="2" t="s">
        <v>54</v>
      </c>
      <c r="G69" s="2" t="s">
        <v>54</v>
      </c>
      <c r="H69" s="12" t="s">
        <v>139</v>
      </c>
      <c r="I69" s="12"/>
      <c r="J69" s="12"/>
      <c r="K69" s="20">
        <v>4606.47</v>
      </c>
      <c r="L69" s="1">
        <v>4606.4704000000002</v>
      </c>
      <c r="M69" s="1">
        <v>0</v>
      </c>
      <c r="N69" s="17">
        <f>46064581.86144/10000</f>
        <v>4606.4581861440001</v>
      </c>
      <c r="O69" s="1"/>
    </row>
    <row r="70" spans="2:15" ht="33" x14ac:dyDescent="0.3">
      <c r="B70" s="136"/>
      <c r="C70" s="133"/>
      <c r="D70" s="139"/>
      <c r="E70" s="1" t="s">
        <v>39</v>
      </c>
      <c r="F70" s="2" t="s">
        <v>54</v>
      </c>
      <c r="G70" s="2"/>
      <c r="H70" s="12" t="s">
        <v>125</v>
      </c>
      <c r="I70" s="12"/>
      <c r="J70" s="12"/>
      <c r="K70" s="20">
        <v>29.34</v>
      </c>
      <c r="L70" s="1">
        <v>0</v>
      </c>
      <c r="M70" s="1">
        <v>0</v>
      </c>
      <c r="N70" s="17">
        <f>536025.236162/10000</f>
        <v>53.602523616199996</v>
      </c>
      <c r="O70" s="1"/>
    </row>
    <row r="71" spans="2:15" ht="49.5" x14ac:dyDescent="0.3">
      <c r="B71" s="136"/>
      <c r="C71" s="133"/>
      <c r="D71" s="139"/>
      <c r="E71" s="1" t="s">
        <v>40</v>
      </c>
      <c r="F71" s="2" t="s">
        <v>54</v>
      </c>
      <c r="G71" s="2" t="s">
        <v>54</v>
      </c>
      <c r="H71" s="12" t="s">
        <v>129</v>
      </c>
      <c r="I71" s="12"/>
      <c r="J71" s="12"/>
      <c r="K71" s="20">
        <v>10.97</v>
      </c>
      <c r="L71" s="1">
        <v>10.9603</v>
      </c>
      <c r="M71" s="1">
        <v>0</v>
      </c>
      <c r="N71" s="17">
        <f>109783.076655/10000</f>
        <v>10.978307665499999</v>
      </c>
      <c r="O71" s="1"/>
    </row>
    <row r="72" spans="2:15" ht="132" x14ac:dyDescent="0.3">
      <c r="B72" s="136"/>
      <c r="C72" s="133"/>
      <c r="D72" s="139"/>
      <c r="E72" s="1" t="s">
        <v>41</v>
      </c>
      <c r="F72" s="2" t="s">
        <v>54</v>
      </c>
      <c r="G72" s="2"/>
      <c r="H72" s="12" t="s">
        <v>142</v>
      </c>
      <c r="I72" s="12"/>
      <c r="J72" s="12"/>
      <c r="K72" s="20">
        <v>1873.6</v>
      </c>
      <c r="L72" s="1">
        <v>0</v>
      </c>
      <c r="M72" s="1">
        <v>0</v>
      </c>
      <c r="N72" s="17">
        <f>18736005.983034/10000</f>
        <v>1873.6005983033999</v>
      </c>
      <c r="O72" s="1"/>
    </row>
    <row r="73" spans="2:15" ht="132" x14ac:dyDescent="0.3">
      <c r="B73" s="136"/>
      <c r="C73" s="133"/>
      <c r="D73" s="139"/>
      <c r="E73" s="1" t="s">
        <v>42</v>
      </c>
      <c r="F73" s="2" t="s">
        <v>54</v>
      </c>
      <c r="G73" s="2"/>
      <c r="H73" s="12" t="s">
        <v>142</v>
      </c>
      <c r="I73" s="12"/>
      <c r="J73" s="12"/>
      <c r="K73" s="20">
        <v>291.3</v>
      </c>
      <c r="L73" s="1">
        <v>0</v>
      </c>
      <c r="M73" s="1">
        <v>0</v>
      </c>
      <c r="N73" s="17">
        <f>2913065.784896/10000</f>
        <v>291.30657848959999</v>
      </c>
      <c r="O73" s="1"/>
    </row>
    <row r="74" spans="2:15" ht="33" x14ac:dyDescent="0.3">
      <c r="B74" s="136"/>
      <c r="C74" s="133"/>
      <c r="D74" s="139"/>
      <c r="E74" s="1" t="s">
        <v>43</v>
      </c>
      <c r="F74" s="2" t="s">
        <v>54</v>
      </c>
      <c r="G74" s="2" t="s">
        <v>54</v>
      </c>
      <c r="H74" s="12" t="s">
        <v>126</v>
      </c>
      <c r="I74" s="12"/>
      <c r="J74" s="12"/>
      <c r="K74" s="20" t="s">
        <v>170</v>
      </c>
      <c r="L74" s="1">
        <v>38.4161</v>
      </c>
      <c r="M74" s="1">
        <v>0</v>
      </c>
      <c r="N74" s="17">
        <f>384160.339833/10000</f>
        <v>38.416033983299997</v>
      </c>
      <c r="O74" s="1"/>
    </row>
    <row r="75" spans="2:15" ht="33" x14ac:dyDescent="0.3">
      <c r="B75" s="136"/>
      <c r="C75" s="133"/>
      <c r="D75" s="139"/>
      <c r="E75" s="1" t="s">
        <v>44</v>
      </c>
      <c r="F75" s="2" t="s">
        <v>54</v>
      </c>
      <c r="G75" s="2"/>
      <c r="H75" s="12" t="s">
        <v>125</v>
      </c>
      <c r="I75" s="12"/>
      <c r="J75" s="12"/>
      <c r="K75" s="20">
        <v>224.32</v>
      </c>
      <c r="L75" s="1">
        <v>0</v>
      </c>
      <c r="M75" s="1">
        <v>0</v>
      </c>
      <c r="N75" s="17">
        <f>2243289.579939/10000</f>
        <v>224.32895799389999</v>
      </c>
      <c r="O75" s="1"/>
    </row>
    <row r="76" spans="2:15" ht="132" x14ac:dyDescent="0.3">
      <c r="B76" s="136"/>
      <c r="C76" s="133"/>
      <c r="D76" s="139"/>
      <c r="E76" s="1" t="s">
        <v>45</v>
      </c>
      <c r="F76" s="2" t="s">
        <v>54</v>
      </c>
      <c r="G76" s="2"/>
      <c r="H76" s="12" t="s">
        <v>142</v>
      </c>
      <c r="I76" s="12"/>
      <c r="J76" s="12"/>
      <c r="K76" s="20">
        <v>1679.5</v>
      </c>
      <c r="L76" s="1">
        <v>0</v>
      </c>
      <c r="M76" s="1">
        <v>0</v>
      </c>
      <c r="N76" s="17">
        <f>16794967.878872/10000</f>
        <v>1679.4967878872001</v>
      </c>
      <c r="O76" s="1"/>
    </row>
    <row r="77" spans="2:15" ht="49.5" x14ac:dyDescent="0.3">
      <c r="B77" s="136"/>
      <c r="C77" s="133"/>
      <c r="D77" s="139"/>
      <c r="E77" s="1" t="s">
        <v>46</v>
      </c>
      <c r="F77" s="2" t="s">
        <v>54</v>
      </c>
      <c r="G77" s="2"/>
      <c r="H77" s="12" t="s">
        <v>130</v>
      </c>
      <c r="I77" s="12"/>
      <c r="J77" s="12"/>
      <c r="K77" s="20">
        <v>12.79</v>
      </c>
      <c r="L77" s="1">
        <v>0</v>
      </c>
      <c r="M77" s="1">
        <v>0</v>
      </c>
      <c r="N77" s="17">
        <f>127927.134642/10000</f>
        <v>12.7927134642</v>
      </c>
      <c r="O77" s="1"/>
    </row>
    <row r="78" spans="2:15" ht="115.5" x14ac:dyDescent="0.3">
      <c r="B78" s="136"/>
      <c r="C78" s="133"/>
      <c r="D78" s="139"/>
      <c r="E78" s="1" t="s">
        <v>47</v>
      </c>
      <c r="F78" s="2" t="s">
        <v>54</v>
      </c>
      <c r="G78" s="2"/>
      <c r="H78" s="12" t="s">
        <v>147</v>
      </c>
      <c r="I78" s="12"/>
      <c r="J78" s="12"/>
      <c r="K78" s="20">
        <v>467.82</v>
      </c>
      <c r="L78" s="1">
        <v>0</v>
      </c>
      <c r="M78" s="1">
        <v>0</v>
      </c>
      <c r="N78" s="17">
        <f>4678224.239766/10000</f>
        <v>467.82242397659996</v>
      </c>
      <c r="O78" s="1"/>
    </row>
    <row r="79" spans="2:15" ht="115.5" x14ac:dyDescent="0.3">
      <c r="B79" s="136"/>
      <c r="C79" s="133"/>
      <c r="D79" s="140"/>
      <c r="E79" s="1" t="s">
        <v>48</v>
      </c>
      <c r="F79" s="2" t="s">
        <v>54</v>
      </c>
      <c r="G79" s="2"/>
      <c r="H79" s="12" t="s">
        <v>136</v>
      </c>
      <c r="I79" s="12"/>
      <c r="J79" s="12"/>
      <c r="K79" s="20">
        <v>70.39</v>
      </c>
      <c r="L79" s="1">
        <v>0</v>
      </c>
      <c r="M79" s="1">
        <v>0</v>
      </c>
      <c r="N79" s="17">
        <f>703933.582832/10000</f>
        <v>70.393358283200001</v>
      </c>
      <c r="O79" s="1"/>
    </row>
    <row r="80" spans="2:15" x14ac:dyDescent="0.3">
      <c r="B80" s="136"/>
      <c r="C80" s="133"/>
      <c r="D80" s="138" t="s">
        <v>83</v>
      </c>
      <c r="E80" s="1" t="s">
        <v>0</v>
      </c>
      <c r="F80" s="2" t="s">
        <v>54</v>
      </c>
      <c r="G80" s="2"/>
      <c r="H80" s="12" t="s">
        <v>124</v>
      </c>
      <c r="I80" s="12"/>
      <c r="J80" s="12"/>
      <c r="K80" s="24">
        <v>46.92</v>
      </c>
      <c r="L80" s="4"/>
      <c r="M80" s="4">
        <v>0</v>
      </c>
      <c r="N80" s="23">
        <f>469288.421328/10000</f>
        <v>46.9288421328</v>
      </c>
      <c r="O80" s="1"/>
    </row>
    <row r="81" spans="2:15" ht="33" x14ac:dyDescent="0.3">
      <c r="B81" s="136"/>
      <c r="C81" s="133"/>
      <c r="D81" s="139"/>
      <c r="E81" s="1" t="s">
        <v>1</v>
      </c>
      <c r="F81" s="2" t="s">
        <v>54</v>
      </c>
      <c r="G81" s="2"/>
      <c r="H81" s="12" t="s">
        <v>123</v>
      </c>
      <c r="I81" s="12"/>
      <c r="J81" s="12"/>
      <c r="K81" s="20">
        <v>1073.23</v>
      </c>
      <c r="L81" s="1">
        <v>0</v>
      </c>
      <c r="M81" s="1">
        <v>0</v>
      </c>
      <c r="N81" s="17">
        <f>10732368.032815/10000</f>
        <v>1073.2368032815</v>
      </c>
      <c r="O81" s="1"/>
    </row>
    <row r="82" spans="2:15" ht="49.5" x14ac:dyDescent="0.3">
      <c r="B82" s="136"/>
      <c r="C82" s="133"/>
      <c r="D82" s="140"/>
      <c r="E82" s="1" t="s">
        <v>2</v>
      </c>
      <c r="F82" s="2" t="s">
        <v>54</v>
      </c>
      <c r="G82" s="2"/>
      <c r="H82" s="12" t="s">
        <v>122</v>
      </c>
      <c r="I82" s="12"/>
      <c r="J82" s="12"/>
      <c r="K82" s="20">
        <v>196.12</v>
      </c>
      <c r="L82" s="1">
        <v>0</v>
      </c>
      <c r="M82" s="1">
        <v>0</v>
      </c>
      <c r="N82" s="17">
        <f>1961234.354338/10000</f>
        <v>196.12343543380001</v>
      </c>
      <c r="O82" s="1"/>
    </row>
    <row r="83" spans="2:15" x14ac:dyDescent="0.3">
      <c r="B83" s="136"/>
      <c r="C83" s="133"/>
      <c r="D83" s="4" t="s">
        <v>109</v>
      </c>
      <c r="E83" s="1" t="s">
        <v>121</v>
      </c>
      <c r="F83" s="2"/>
      <c r="G83" s="2" t="s">
        <v>54</v>
      </c>
      <c r="H83" s="12"/>
      <c r="I83" s="12"/>
      <c r="J83" s="12"/>
      <c r="K83" s="20">
        <v>0</v>
      </c>
      <c r="L83" s="1">
        <v>10761.006100000001</v>
      </c>
      <c r="M83" s="1">
        <v>0</v>
      </c>
      <c r="N83" s="23">
        <v>0</v>
      </c>
      <c r="O83" s="1"/>
    </row>
    <row r="84" spans="2:15" x14ac:dyDescent="0.3">
      <c r="B84" s="136"/>
      <c r="C84" s="133"/>
      <c r="D84" s="4" t="s">
        <v>110</v>
      </c>
      <c r="E84" s="1" t="s">
        <v>121</v>
      </c>
      <c r="F84" s="2"/>
      <c r="G84" s="2" t="s">
        <v>54</v>
      </c>
      <c r="H84" s="12"/>
      <c r="I84" s="12"/>
      <c r="J84" s="12"/>
      <c r="K84" s="20">
        <v>0</v>
      </c>
      <c r="L84" s="1">
        <v>9455.86</v>
      </c>
      <c r="M84" s="1">
        <v>0</v>
      </c>
      <c r="N84" s="23">
        <v>0</v>
      </c>
      <c r="O84" s="1"/>
    </row>
    <row r="85" spans="2:15" ht="66" x14ac:dyDescent="0.3">
      <c r="B85" s="136"/>
      <c r="C85" s="133"/>
      <c r="D85" s="4" t="s">
        <v>116</v>
      </c>
      <c r="E85" s="11" t="s">
        <v>158</v>
      </c>
      <c r="F85" s="2"/>
      <c r="G85" s="2"/>
      <c r="H85" s="14" t="s">
        <v>54</v>
      </c>
      <c r="I85" s="14"/>
      <c r="J85" s="14"/>
      <c r="K85" s="20">
        <v>0</v>
      </c>
      <c r="L85" s="1">
        <v>0</v>
      </c>
      <c r="M85" s="1">
        <v>1248.3865792257</v>
      </c>
      <c r="N85" s="23">
        <v>0</v>
      </c>
      <c r="O85" s="1"/>
    </row>
    <row r="86" spans="2:15" x14ac:dyDescent="0.3">
      <c r="B86" s="136"/>
      <c r="C86" s="133"/>
      <c r="D86" s="4" t="s">
        <v>117</v>
      </c>
      <c r="E86" s="11" t="s">
        <v>159</v>
      </c>
      <c r="F86" s="2"/>
      <c r="G86" s="2"/>
      <c r="H86" s="14" t="s">
        <v>54</v>
      </c>
      <c r="I86" s="14"/>
      <c r="J86" s="14"/>
      <c r="K86" s="20">
        <v>0</v>
      </c>
      <c r="L86" s="1">
        <v>0</v>
      </c>
      <c r="M86" s="1">
        <v>23491.2331306956</v>
      </c>
      <c r="N86" s="23">
        <v>0</v>
      </c>
      <c r="O86" s="1"/>
    </row>
    <row r="87" spans="2:15" x14ac:dyDescent="0.3">
      <c r="B87" s="136"/>
      <c r="C87" s="133"/>
      <c r="D87" s="1" t="s">
        <v>118</v>
      </c>
      <c r="E87" s="1" t="s">
        <v>160</v>
      </c>
      <c r="F87" s="2"/>
      <c r="G87" s="2"/>
      <c r="H87" s="14" t="s">
        <v>54</v>
      </c>
      <c r="I87" s="14"/>
      <c r="J87" s="14"/>
      <c r="K87" s="20">
        <v>0</v>
      </c>
      <c r="L87" s="1">
        <v>0</v>
      </c>
      <c r="M87" s="1">
        <v>293.17403692069996</v>
      </c>
      <c r="N87" s="17">
        <v>0</v>
      </c>
      <c r="O87" s="1"/>
    </row>
    <row r="88" spans="2:15" x14ac:dyDescent="0.3">
      <c r="B88" s="137"/>
      <c r="C88" s="134"/>
      <c r="D88" s="5" t="s">
        <v>119</v>
      </c>
      <c r="E88" s="11" t="s">
        <v>161</v>
      </c>
      <c r="F88" s="2"/>
      <c r="G88" s="2"/>
      <c r="H88" s="14" t="s">
        <v>54</v>
      </c>
      <c r="I88" s="14"/>
      <c r="J88" s="14"/>
      <c r="K88" s="20">
        <v>0</v>
      </c>
      <c r="L88" s="1">
        <v>0</v>
      </c>
      <c r="M88" s="1">
        <v>2402.1037549952998</v>
      </c>
      <c r="N88" s="17">
        <v>0</v>
      </c>
      <c r="O88" s="1"/>
    </row>
    <row r="89" spans="2:15" x14ac:dyDescent="0.3">
      <c r="B89" s="135" t="s">
        <v>106</v>
      </c>
      <c r="C89" s="1" t="s">
        <v>67</v>
      </c>
      <c r="D89" s="7" t="s">
        <v>99</v>
      </c>
      <c r="E89" s="1"/>
      <c r="F89" s="2"/>
      <c r="G89" s="2" t="s">
        <v>53</v>
      </c>
      <c r="H89" s="14"/>
      <c r="I89" s="14"/>
      <c r="J89" s="14"/>
      <c r="K89" s="20">
        <v>0</v>
      </c>
      <c r="L89" s="21">
        <v>0</v>
      </c>
      <c r="M89" s="21"/>
      <c r="N89" s="26"/>
      <c r="O89" s="1"/>
    </row>
    <row r="90" spans="2:15" x14ac:dyDescent="0.3">
      <c r="B90" s="136"/>
      <c r="C90" s="4" t="s">
        <v>68</v>
      </c>
      <c r="D90" s="10" t="s">
        <v>100</v>
      </c>
      <c r="E90" s="4"/>
      <c r="F90" s="27"/>
      <c r="G90" s="27" t="s">
        <v>53</v>
      </c>
      <c r="H90" s="28"/>
      <c r="I90" s="15"/>
      <c r="J90" s="15"/>
      <c r="K90" s="20">
        <v>0</v>
      </c>
      <c r="L90" s="21">
        <v>0</v>
      </c>
      <c r="M90" s="21"/>
      <c r="N90" s="26"/>
      <c r="O90" s="1"/>
    </row>
    <row r="91" spans="2:15" x14ac:dyDescent="0.3">
      <c r="B91" s="136"/>
      <c r="C91" s="130" t="s">
        <v>85</v>
      </c>
      <c r="D91" s="7" t="s">
        <v>179</v>
      </c>
      <c r="E91" s="1"/>
      <c r="F91" s="2" t="s">
        <v>53</v>
      </c>
      <c r="G91" s="2" t="s">
        <v>53</v>
      </c>
      <c r="H91" s="14" t="s">
        <v>53</v>
      </c>
      <c r="I91" s="14"/>
      <c r="J91" s="14"/>
      <c r="K91" s="4">
        <v>3047</v>
      </c>
      <c r="L91" s="21"/>
      <c r="M91" s="21">
        <v>15298.471262152299</v>
      </c>
      <c r="N91" s="23">
        <v>3257.7</v>
      </c>
      <c r="O91" s="1"/>
    </row>
    <row r="92" spans="2:15" x14ac:dyDescent="0.3">
      <c r="B92" s="136"/>
      <c r="C92" s="130"/>
      <c r="D92" s="7" t="s">
        <v>94</v>
      </c>
      <c r="E92" s="1"/>
      <c r="F92" s="2"/>
      <c r="G92" s="2" t="s">
        <v>53</v>
      </c>
      <c r="H92" s="14"/>
      <c r="I92" s="14"/>
      <c r="J92" s="14"/>
      <c r="K92" s="20">
        <v>0</v>
      </c>
      <c r="L92" s="21">
        <v>0</v>
      </c>
      <c r="M92" s="21">
        <v>0</v>
      </c>
      <c r="N92" s="26">
        <v>0</v>
      </c>
      <c r="O92" s="1"/>
    </row>
    <row r="93" spans="2:15" x14ac:dyDescent="0.3">
      <c r="B93" s="136"/>
      <c r="C93" s="130"/>
      <c r="D93" s="7" t="s">
        <v>95</v>
      </c>
      <c r="E93" s="1"/>
      <c r="F93" s="2"/>
      <c r="G93" s="2" t="s">
        <v>53</v>
      </c>
      <c r="H93" s="14" t="s">
        <v>53</v>
      </c>
      <c r="I93" s="14"/>
      <c r="J93" s="14"/>
      <c r="K93" s="20">
        <v>0</v>
      </c>
      <c r="L93" s="21">
        <v>0</v>
      </c>
      <c r="M93" s="21">
        <v>0</v>
      </c>
      <c r="N93" s="26">
        <v>0</v>
      </c>
      <c r="O93" s="1"/>
    </row>
    <row r="94" spans="2:15" x14ac:dyDescent="0.3">
      <c r="B94" s="136"/>
      <c r="C94" s="1" t="s">
        <v>102</v>
      </c>
      <c r="D94" s="4" t="s">
        <v>108</v>
      </c>
      <c r="E94" s="1"/>
      <c r="F94" s="2" t="s">
        <v>53</v>
      </c>
      <c r="G94" s="2" t="s">
        <v>53</v>
      </c>
      <c r="H94" s="14"/>
      <c r="I94" s="14"/>
      <c r="J94" s="14"/>
      <c r="K94" s="24">
        <v>1914.63</v>
      </c>
      <c r="L94" s="4">
        <v>1784.89</v>
      </c>
      <c r="M94" s="4">
        <v>0</v>
      </c>
      <c r="N94" s="23">
        <v>959.1</v>
      </c>
      <c r="O94" s="1"/>
    </row>
    <row r="95" spans="2:15" x14ac:dyDescent="0.3">
      <c r="B95" s="136"/>
      <c r="C95" s="1" t="s">
        <v>107</v>
      </c>
      <c r="D95" s="4"/>
      <c r="E95" s="1"/>
      <c r="F95" s="2"/>
      <c r="G95" s="2" t="s">
        <v>53</v>
      </c>
      <c r="H95" s="14"/>
      <c r="I95" s="14"/>
      <c r="J95" s="14"/>
      <c r="K95" s="20">
        <v>0</v>
      </c>
      <c r="L95" s="1">
        <v>194.5119</v>
      </c>
      <c r="M95" s="1">
        <v>0</v>
      </c>
      <c r="N95" s="17">
        <v>0</v>
      </c>
      <c r="O95" s="1"/>
    </row>
    <row r="96" spans="2:15" x14ac:dyDescent="0.3">
      <c r="B96" s="136"/>
      <c r="C96" s="138" t="s">
        <v>120</v>
      </c>
      <c r="D96" s="1" t="s">
        <v>162</v>
      </c>
      <c r="E96" s="1" t="s">
        <v>162</v>
      </c>
      <c r="F96" s="2"/>
      <c r="G96" s="2"/>
      <c r="H96" s="14" t="s">
        <v>53</v>
      </c>
      <c r="I96" s="14"/>
      <c r="J96" s="14"/>
      <c r="K96" s="20">
        <v>0</v>
      </c>
      <c r="L96" s="1">
        <v>0</v>
      </c>
      <c r="M96" s="1">
        <v>0</v>
      </c>
      <c r="N96" s="1">
        <v>623.37510297490007</v>
      </c>
      <c r="O96" s="1"/>
    </row>
    <row r="97" spans="2:15" ht="49.5" customHeight="1" x14ac:dyDescent="0.3">
      <c r="B97" s="136"/>
      <c r="C97" s="139"/>
      <c r="D97" s="29" t="s">
        <v>178</v>
      </c>
      <c r="E97" s="29" t="s">
        <v>178</v>
      </c>
      <c r="F97" s="2"/>
      <c r="G97" s="2"/>
      <c r="H97" s="14" t="s">
        <v>54</v>
      </c>
      <c r="I97" s="14"/>
      <c r="J97" s="14"/>
      <c r="K97" s="20">
        <v>0</v>
      </c>
      <c r="L97" s="1">
        <v>0</v>
      </c>
      <c r="M97" s="1"/>
      <c r="N97" s="1">
        <v>888.68</v>
      </c>
      <c r="O97" s="1"/>
    </row>
    <row r="98" spans="2:15" x14ac:dyDescent="0.3">
      <c r="B98" s="131" t="s">
        <v>69</v>
      </c>
      <c r="C98" s="130" t="s">
        <v>70</v>
      </c>
      <c r="D98" s="4" t="s">
        <v>104</v>
      </c>
      <c r="E98" s="4"/>
      <c r="F98" s="27" t="s">
        <v>53</v>
      </c>
      <c r="G98" s="27"/>
      <c r="H98" s="28"/>
      <c r="I98" s="28"/>
      <c r="J98" s="28"/>
      <c r="K98" s="24">
        <v>478.86</v>
      </c>
      <c r="L98" s="4">
        <v>0</v>
      </c>
      <c r="M98" s="4">
        <v>0</v>
      </c>
      <c r="N98" s="23">
        <f>1793425.171272/10000</f>
        <v>179.34251712720001</v>
      </c>
      <c r="O98" s="4"/>
    </row>
    <row r="99" spans="2:15" x14ac:dyDescent="0.3">
      <c r="B99" s="131"/>
      <c r="C99" s="130"/>
      <c r="D99" s="1" t="s">
        <v>103</v>
      </c>
      <c r="E99" s="1"/>
      <c r="F99" s="2" t="s">
        <v>53</v>
      </c>
      <c r="G99" s="2" t="s">
        <v>53</v>
      </c>
      <c r="H99" s="14" t="s">
        <v>53</v>
      </c>
      <c r="I99" s="14"/>
      <c r="J99" s="14"/>
      <c r="K99" s="24">
        <v>1086.1500000000001</v>
      </c>
      <c r="L99" s="4">
        <v>0</v>
      </c>
      <c r="M99" s="4">
        <v>1504.1210089596</v>
      </c>
      <c r="N99" s="23">
        <f>5529449.327885/10000</f>
        <v>552.94493278849995</v>
      </c>
      <c r="O99" s="1"/>
    </row>
    <row r="100" spans="2:15" x14ac:dyDescent="0.3">
      <c r="B100" s="131"/>
      <c r="C100" s="130"/>
      <c r="D100" s="1" t="s">
        <v>105</v>
      </c>
      <c r="E100" s="1"/>
      <c r="F100" s="2" t="s">
        <v>53</v>
      </c>
      <c r="G100" s="2" t="s">
        <v>53</v>
      </c>
      <c r="H100" s="14" t="s">
        <v>53</v>
      </c>
      <c r="I100" s="14"/>
      <c r="J100" s="14"/>
      <c r="K100" s="24">
        <v>369.13</v>
      </c>
      <c r="L100" s="4">
        <v>0</v>
      </c>
      <c r="M100" s="4">
        <v>436.62779788659998</v>
      </c>
      <c r="N100" s="23">
        <f>3230972.488228/10000</f>
        <v>323.0972488228</v>
      </c>
      <c r="O100" s="1"/>
    </row>
    <row r="101" spans="2:15" x14ac:dyDescent="0.3">
      <c r="B101" s="131"/>
      <c r="C101" s="1" t="s">
        <v>71</v>
      </c>
      <c r="D101" s="1" t="s">
        <v>111</v>
      </c>
      <c r="E101" s="1"/>
      <c r="F101" s="2"/>
      <c r="G101" s="2" t="s">
        <v>53</v>
      </c>
      <c r="H101" s="14" t="s">
        <v>53</v>
      </c>
      <c r="I101" s="14"/>
      <c r="J101" s="14"/>
      <c r="K101" s="24">
        <v>0</v>
      </c>
      <c r="L101" s="4">
        <v>0</v>
      </c>
      <c r="M101" s="4">
        <v>514.33631569900001</v>
      </c>
      <c r="N101" s="26"/>
      <c r="O101" s="1"/>
    </row>
    <row r="102" spans="2:15" x14ac:dyDescent="0.3">
      <c r="B102" s="131"/>
      <c r="C102" s="4" t="s">
        <v>112</v>
      </c>
      <c r="D102" s="1"/>
      <c r="E102" s="1" t="s">
        <v>163</v>
      </c>
      <c r="F102" s="2"/>
      <c r="G102" s="2" t="s">
        <v>53</v>
      </c>
      <c r="H102" s="14"/>
      <c r="I102" s="14"/>
      <c r="J102" s="14"/>
      <c r="K102" s="20"/>
      <c r="L102" s="1">
        <v>0</v>
      </c>
      <c r="M102" s="1">
        <v>0</v>
      </c>
      <c r="N102" s="17"/>
      <c r="O102" s="1"/>
    </row>
    <row r="103" spans="2:15" x14ac:dyDescent="0.3">
      <c r="B103" s="131"/>
      <c r="C103" s="4" t="s">
        <v>113</v>
      </c>
      <c r="D103" s="1"/>
      <c r="E103" s="1" t="s">
        <v>165</v>
      </c>
      <c r="F103" s="2"/>
      <c r="G103" s="2" t="s">
        <v>53</v>
      </c>
      <c r="H103" s="14"/>
      <c r="I103" s="14"/>
      <c r="J103" s="14"/>
      <c r="K103" s="20"/>
      <c r="L103" s="1">
        <v>0</v>
      </c>
      <c r="M103" s="1">
        <v>0</v>
      </c>
      <c r="N103" s="17"/>
      <c r="O103" s="1"/>
    </row>
    <row r="104" spans="2:15" x14ac:dyDescent="0.3">
      <c r="B104" s="131"/>
      <c r="C104" s="4" t="s">
        <v>114</v>
      </c>
      <c r="D104" s="1"/>
      <c r="E104" s="1" t="s">
        <v>164</v>
      </c>
      <c r="F104" s="2"/>
      <c r="G104" s="2" t="s">
        <v>53</v>
      </c>
      <c r="H104" s="14"/>
      <c r="I104" s="14"/>
      <c r="J104" s="14"/>
      <c r="K104" s="20"/>
      <c r="L104" s="1">
        <v>0</v>
      </c>
      <c r="M104" s="1">
        <v>0</v>
      </c>
      <c r="N104" s="17"/>
      <c r="O104" s="1"/>
    </row>
    <row r="105" spans="2:15" x14ac:dyDescent="0.3">
      <c r="B105" s="131"/>
      <c r="C105" s="4" t="s">
        <v>115</v>
      </c>
      <c r="D105" s="1"/>
      <c r="E105" s="1" t="s">
        <v>166</v>
      </c>
      <c r="F105" s="2"/>
      <c r="G105" s="2" t="s">
        <v>53</v>
      </c>
      <c r="H105" s="14" t="s">
        <v>53</v>
      </c>
      <c r="I105" s="14"/>
      <c r="J105" s="14"/>
      <c r="K105" s="20"/>
      <c r="L105" s="1">
        <v>0</v>
      </c>
      <c r="M105" s="1">
        <v>0</v>
      </c>
      <c r="N105" s="17"/>
      <c r="O105" s="1"/>
    </row>
  </sheetData>
  <mergeCells count="15">
    <mergeCell ref="F2:H2"/>
    <mergeCell ref="C98:C100"/>
    <mergeCell ref="B98:B105"/>
    <mergeCell ref="C11:C88"/>
    <mergeCell ref="B4:B88"/>
    <mergeCell ref="D33:D79"/>
    <mergeCell ref="D6:D8"/>
    <mergeCell ref="D11:D17"/>
    <mergeCell ref="C4:C8"/>
    <mergeCell ref="D80:D82"/>
    <mergeCell ref="D18:D32"/>
    <mergeCell ref="C91:C93"/>
    <mergeCell ref="C9:C10"/>
    <mergeCell ref="B89:B97"/>
    <mergeCell ref="C96:C9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PARALELO USOS ACUERDO 16_1998</vt:lpstr>
      <vt:lpstr>EEP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Alfonso Buitrago Torres</dc:creator>
  <cp:lastModifiedBy>catalina silva moreno</cp:lastModifiedBy>
  <dcterms:created xsi:type="dcterms:W3CDTF">2018-09-03T20:56:52Z</dcterms:created>
  <dcterms:modified xsi:type="dcterms:W3CDTF">2021-12-13T23:34:56Z</dcterms:modified>
</cp:coreProperties>
</file>