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dcsil\OneDrive\GCR.Catalina\CONTRATO 075-2021\PROYECTO DE ARTICULADO POT\PROYECTO DE ACUERDO Y DTA 08_09_2021\"/>
    </mc:Choice>
  </mc:AlternateContent>
  <xr:revisionPtr revIDLastSave="0" documentId="13_ncr:1_{03E20209-9E2F-4B2C-B2E6-38456E5C8B7C}" xr6:coauthVersionLast="47" xr6:coauthVersionMax="47" xr10:uidLastSave="{00000000-0000-0000-0000-000000000000}"/>
  <bookViews>
    <workbookView xWindow="-120" yWindow="-120" windowWidth="29040" windowHeight="15840" xr2:uid="{00000000-000D-0000-FFFF-FFFF00000000}"/>
  </bookViews>
  <sheets>
    <sheet name="Componentes EEP" sheetId="3" r:id="rId1"/>
    <sheet name="EEP"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2" l="1"/>
  <c r="N15" i="2"/>
  <c r="L10" i="2"/>
  <c r="M10" i="2"/>
  <c r="M5" i="2"/>
  <c r="N10" i="2"/>
  <c r="N100" i="2"/>
  <c r="N99" i="2"/>
  <c r="N98" i="2"/>
  <c r="N82" i="2"/>
  <c r="N81" i="2"/>
  <c r="N80" i="2"/>
  <c r="N79" i="2"/>
  <c r="N78" i="2"/>
  <c r="N77" i="2"/>
  <c r="N76" i="2"/>
  <c r="N75" i="2"/>
  <c r="N74" i="2"/>
  <c r="N73" i="2"/>
  <c r="N72" i="2"/>
  <c r="N71" i="2"/>
  <c r="N70" i="2"/>
  <c r="N69" i="2"/>
  <c r="N68" i="2"/>
  <c r="N67" i="2"/>
  <c r="N66" i="2"/>
  <c r="N65" i="2"/>
  <c r="N64" i="2"/>
  <c r="N63" i="2"/>
  <c r="N62" i="2"/>
  <c r="N61" i="2"/>
  <c r="N60" i="2"/>
  <c r="N59" i="2"/>
  <c r="N58" i="2"/>
  <c r="N57" i="2"/>
  <c r="N56" i="2"/>
  <c r="N55" i="2"/>
  <c r="N54"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4" i="2"/>
  <c r="N13" i="2"/>
  <c r="N12" i="2"/>
  <c r="N5" i="2"/>
</calcChain>
</file>

<file path=xl/sharedStrings.xml><?xml version="1.0" encoding="utf-8"?>
<sst xmlns="http://schemas.openxmlformats.org/spreadsheetml/2006/main" count="586" uniqueCount="279">
  <si>
    <t>Bosque de las Mercedes en Suba</t>
  </si>
  <si>
    <t>Pantanos Colgantes</t>
  </si>
  <si>
    <t>Lagunas de Bocagrande</t>
  </si>
  <si>
    <t>Cerros de Suba</t>
  </si>
  <si>
    <t>Las Vegas</t>
  </si>
  <si>
    <t>Subpáramo Cuchilla Las Ánimas</t>
  </si>
  <si>
    <t>Páramo Puente Piedra</t>
  </si>
  <si>
    <t>Área de Restauración de Santa Bárbara</t>
  </si>
  <si>
    <t>Corredor de Restauración La Requilina</t>
  </si>
  <si>
    <t>Sierras del Chicó</t>
  </si>
  <si>
    <t>Área de restauración Las Vegas</t>
  </si>
  <si>
    <t>Quebrada El Salitre</t>
  </si>
  <si>
    <t>Encenillales de Pasquilla</t>
  </si>
  <si>
    <t>Corredor de Restauración de Piedra Gorda</t>
  </si>
  <si>
    <t>Los Soches</t>
  </si>
  <si>
    <t>Subpáramo Quebrada Cuartas</t>
  </si>
  <si>
    <t>San Juan</t>
  </si>
  <si>
    <t>Bajo Río Gallo</t>
  </si>
  <si>
    <t>Corredor de Restauración Encenillales   de Pasquilla</t>
  </si>
  <si>
    <t>Corredor de restauración Aguadita-La Regadera</t>
  </si>
  <si>
    <t>Área de Restauración Canteras del Boquerón</t>
  </si>
  <si>
    <t xml:space="preserve">Subpáramo El Tuste </t>
  </si>
  <si>
    <t>Alto San Juan</t>
  </si>
  <si>
    <t>Alto Río Chochal</t>
  </si>
  <si>
    <t>Páramo Los Salitres</t>
  </si>
  <si>
    <t>Corredor de Restauración río Curubital</t>
  </si>
  <si>
    <t>Corredor de Restauración Yomasa Alta</t>
  </si>
  <si>
    <t>Subpáramo El Oro</t>
  </si>
  <si>
    <t>Quebrada Honda</t>
  </si>
  <si>
    <t>El Zarpazo</t>
  </si>
  <si>
    <t>Páramo de Andes</t>
  </si>
  <si>
    <t>Encenillales del Mochuelo</t>
  </si>
  <si>
    <t>Subpáramo Hoya Honda</t>
  </si>
  <si>
    <t>San Antonio</t>
  </si>
  <si>
    <t>Las Abras</t>
  </si>
  <si>
    <t>Subpáramo La Regadera</t>
  </si>
  <si>
    <t>Área de Restauración Los Arbolocos-Chiguaza</t>
  </si>
  <si>
    <t>Corredor de Restauración Santa Librada-Bolonia</t>
  </si>
  <si>
    <t>Pilar y Sumapaz</t>
  </si>
  <si>
    <t xml:space="preserve">Subpáramo del Salitre </t>
  </si>
  <si>
    <t xml:space="preserve">El Istmo </t>
  </si>
  <si>
    <t>Páramo Las Mercedes-Pasquilla</t>
  </si>
  <si>
    <t>Área de Restauración Subpáramo       Parada del Viento</t>
  </si>
  <si>
    <t xml:space="preserve">Subpáramo Cháscales </t>
  </si>
  <si>
    <t>Páramo Alto Río Gallo</t>
  </si>
  <si>
    <t>Páramo Alto Chisacá</t>
  </si>
  <si>
    <t>Corredor de Restauración Río Tunjuelo</t>
  </si>
  <si>
    <t>Corredor de Restauración microcuenca Paso Colorado</t>
  </si>
  <si>
    <t>El Carraco</t>
  </si>
  <si>
    <t>Cerro de Torca</t>
  </si>
  <si>
    <t>Peña Blanca</t>
  </si>
  <si>
    <t>La Regadera</t>
  </si>
  <si>
    <t>Humedales de Torca y Guaymaral</t>
  </si>
  <si>
    <t>X</t>
  </si>
  <si>
    <t>x</t>
  </si>
  <si>
    <t>Área de Restauración Subpáramo de Olarte</t>
  </si>
  <si>
    <t>Humedal de Tibanica</t>
  </si>
  <si>
    <t>Humedal de La Vaca</t>
  </si>
  <si>
    <t>Humedal del Burro</t>
  </si>
  <si>
    <t>Humedal de Techo</t>
  </si>
  <si>
    <t xml:space="preserve">Humedal de Capellanía o La Cofradía </t>
  </si>
  <si>
    <t>Humedal del Meandro del Say</t>
  </si>
  <si>
    <t>Humedal de Santa María del Lago</t>
  </si>
  <si>
    <t>Humedal de Córdoba y Niza</t>
  </si>
  <si>
    <t>Humedal de Jaboque (MP de la SDA suspendida)</t>
  </si>
  <si>
    <t>Humedal de Juan Amarillo o Tibabuyes</t>
  </si>
  <si>
    <t>Humedal de La Conejera</t>
  </si>
  <si>
    <t>PARAMOS</t>
  </si>
  <si>
    <t>HUMEDALES</t>
  </si>
  <si>
    <t xml:space="preserve">AREAS COMPLEMENTARIAS PARA LA CONSERVACIÓN </t>
  </si>
  <si>
    <t>PARQUES URBANOS</t>
  </si>
  <si>
    <t xml:space="preserve">AREAS DE RIESGO NO MITIGABLE </t>
  </si>
  <si>
    <t>COMPONENTE</t>
  </si>
  <si>
    <t xml:space="preserve">CATEGORIA </t>
  </si>
  <si>
    <t xml:space="preserve">ELEMENTO </t>
  </si>
  <si>
    <t>Paqrue Natural Nacional Sumapaz</t>
  </si>
  <si>
    <t>Reserva Forestal Protectora Bosque Oriental de Bogotá</t>
  </si>
  <si>
    <t xml:space="preserve">Reserva Forestal Protectora Productora de la cuenca alta del rio Bogota </t>
  </si>
  <si>
    <t xml:space="preserve">Reserva Forestal Regional productora del Norte de Bogotá  Thomas Van der Hammen </t>
  </si>
  <si>
    <t>Reservas de la Sociedad Civil</t>
  </si>
  <si>
    <t>Parque Ecológico Distrital De Montaña</t>
  </si>
  <si>
    <t xml:space="preserve">Parque Ecológico Distrital de Humedal </t>
  </si>
  <si>
    <t>Área forestal distrital</t>
  </si>
  <si>
    <t>Santuario Distrital de Fauna y Flora.</t>
  </si>
  <si>
    <t xml:space="preserve">NOMBRE DEL ELEMENTO </t>
  </si>
  <si>
    <t xml:space="preserve">SISTEMA HIDRICO </t>
  </si>
  <si>
    <t>DECRETO 190</t>
  </si>
  <si>
    <t>DECRETO 364</t>
  </si>
  <si>
    <t>PROPUESTA 2019</t>
  </si>
  <si>
    <t>Tauro</t>
  </si>
  <si>
    <t xml:space="preserve">Parque Ecológico los Andes </t>
  </si>
  <si>
    <t>Horadado de San Alejo</t>
  </si>
  <si>
    <t>Entre Nubes</t>
  </si>
  <si>
    <t xml:space="preserve">Cerro Seco </t>
  </si>
  <si>
    <t xml:space="preserve">Areas de Recarga de Acuiferos </t>
  </si>
  <si>
    <t xml:space="preserve">Nacimientos de Agua </t>
  </si>
  <si>
    <t>Humedal El Tunjo (Declarado: Acuerdo 577 de 2014) * Nueva área declarada</t>
  </si>
  <si>
    <t>Humedal Salitre (Declarado: Acuerdo 577 de 2014) * Nueva área declarada</t>
  </si>
  <si>
    <t>Humedal La Isla (Declarado: Acuerdo 577 de 2014) * Nueva área declarada</t>
  </si>
  <si>
    <t>Corredor Cruz Verde- Sumapaz</t>
  </si>
  <si>
    <t xml:space="preserve">Embalse, Lagos, Lagunas y Humedales </t>
  </si>
  <si>
    <t>COMPONENTE DE LA EEP</t>
  </si>
  <si>
    <t>AREA DE MANEJO ESPECIAL DEL RIO BOGOTA</t>
  </si>
  <si>
    <t>Parques Metropolitanos</t>
  </si>
  <si>
    <t xml:space="preserve">Parques Regionales </t>
  </si>
  <si>
    <t>Parques Zonales</t>
  </si>
  <si>
    <t>AREAS DE  ESPECIAL IMPORTANCIA ECOSISTEMICAS</t>
  </si>
  <si>
    <t xml:space="preserve">CORREDORES ECOLOGICOS DE TRANSICIÓN RURAL </t>
  </si>
  <si>
    <t>Areas de Manejo Especial de Rio Bogotá</t>
  </si>
  <si>
    <t xml:space="preserve">Reserva Distrital de Conservación de ecosistemas </t>
  </si>
  <si>
    <t xml:space="preserve">Reserva Campesina de producción agroecologica </t>
  </si>
  <si>
    <t xml:space="preserve">Parques de Protección por riesgo /Parques de Protección </t>
  </si>
  <si>
    <t xml:space="preserve">CONECTORES ECOLOGICOS </t>
  </si>
  <si>
    <t>CERCAS VIVAS EN SUELO RURAL</t>
  </si>
  <si>
    <t>AREAS DE CONTROL AMBIENTAL</t>
  </si>
  <si>
    <t>SISTEMAS URBANOS SOSTENIBLES/CANALES</t>
  </si>
  <si>
    <t xml:space="preserve">Parques Ecologicos Rurales </t>
  </si>
  <si>
    <t xml:space="preserve">Area Silvestre Distrital </t>
  </si>
  <si>
    <t xml:space="preserve">Monumento Natural Distrital </t>
  </si>
  <si>
    <t xml:space="preserve">Agroparque Distrital </t>
  </si>
  <si>
    <t>PARQUE LINEAL HIDRICO</t>
  </si>
  <si>
    <t>Según el D. 364 de 2013 debia ser delimitada según el realinderamiento de la cuenca alta</t>
  </si>
  <si>
    <t>Recategorizada por Parque Ecológico Rural Lagunas del Alar</t>
  </si>
  <si>
    <t>Recategorizada RFPP Cuenca Alta del Río Bogotá</t>
  </si>
  <si>
    <t>Recategorizada RTVDH</t>
  </si>
  <si>
    <t>Recategorización Parque Nacional Natural Sumapaz.</t>
  </si>
  <si>
    <t>Recategorización por el Área Silvestre Distrital Alto Sumapaz.</t>
  </si>
  <si>
    <t>Recategorización total como parte del
Agroparque Los Soches</t>
  </si>
  <si>
    <t>Recategorización como parte del Área Silvestre Río Chochal.</t>
  </si>
  <si>
    <t>Recategorización como parte de Corredores Ecológicos Hídricos</t>
  </si>
  <si>
    <t>Recategroizado como Parque Ecológico Rural Cuenca Alta del Río Tunjuelo.</t>
  </si>
  <si>
    <t xml:space="preserve">Recategorización por el Área Silvestre Distrital Alto Sumapaz. </t>
  </si>
  <si>
    <t>Recategorización parcial como parte de la RFP Bosque Oriental de Bogotá.</t>
  </si>
  <si>
    <t>Recategorización como parte del área parque Ecológico Distrital de Montaña Cerros de Suba</t>
  </si>
  <si>
    <t>Recategorización parcial como parte de la RFP Bosque Oriental de Bogotá.
Recategorización parcial como parte de la RFPP Cuenca Alta del Río Bogotá</t>
  </si>
  <si>
    <t>Recategorización parcial como parte de la RFPP Cuenca Alta del Río Bogotá.
 Recategorización parcial como parte de
las áreas Agroparque La Requilina - El Uval</t>
  </si>
  <si>
    <t>Recategorización parcial como parte de la RFPP Cuenca Alta del Río Bogotá
 Recategorización parcial como parte del Agroparque Quiba</t>
  </si>
  <si>
    <t>Recategorización
parcial como parte del Área Silvestre Distrital Alto Sumapaz</t>
  </si>
  <si>
    <t>Recategorización Parque Nacional Natural Sumapaz. (Parcial).  
Recategorización
parcial como parte del Área Silvestre Distrital Alto Sumapaz</t>
  </si>
  <si>
    <t>Recategorización parcial como parte de las áreas
Área Silvestre Distrital Alto Sumapaz y Agroparque Del Sumapaz, como también en la
categoría Corredor Ecológico Rural.</t>
  </si>
  <si>
    <t>Recategorización parcial como
parte del Área Silvestre Distrital Alto Sumapaz como también en la categoría Corredor
Ecológico Rural.</t>
  </si>
  <si>
    <t>Recategorización parcial como parte de la RFP Bosque Oriental de Bogotá.
Recategorización parcial como parte de la RFPP Cuenca Alta del Río Bogotá.
Recategorización parcial como parte del Área Silvestre Distrital Cuenca Alta del
Río Bogotá</t>
  </si>
  <si>
    <t>Recategorización parcial como parte de la RFPP Cuenca Alta del Río Bogotá.
Recategorización parcial como parte del Área Silvestre Distrital Cuenca Alta del
Río Bogotá</t>
  </si>
  <si>
    <t>Recategorización parcial como parte de la RFPP Cuenca Alta del Río Bogotá.
Recategorización parcial como parte de las áreas Área
Silvestre Distrital Cuenca Alta del Río Bogotá y Parque Ecológico Rural Lagunas del
Alar.</t>
  </si>
  <si>
    <t>Recategorización Parque Nacional Natural Sumapaz. (Parcial).
Recategorización parcial como parte del Área Silvestre Distrital El Chochal y como parte del corredor ecológico Corredor Ecológico Rural</t>
  </si>
  <si>
    <t>Rrecategorización parcial como parte de las áreas Área Silvestre Distrital Río Chochal y Monumento Natural Distrital El Itsmo, como también del corredor
ecológico Corredor Ecológico Rural.</t>
  </si>
  <si>
    <t>Recategorización parcial como parte de la RFPP Cuenca Alta del Río Bogotá.
Recategorización parcial como parte del corredor ecológico Corredor
Ecológico Rural.</t>
  </si>
  <si>
    <t>Recategorización parcial como parte de la RFPP Cuenca Alta del Río Bogotá.
Recategorización parcial como parte del corredor ecológico Corredor Ecológico Rural.</t>
  </si>
  <si>
    <t>Recategorización parcial como parte de la RFP Bosque Oriental de Bogotá.
Recategorización parcial como parte del área Parque Ecológico
Distrital de Montaña Sierra del Chicó.</t>
  </si>
  <si>
    <t>Recategorización como parte de Corredores Ecológicos Hídricos
Recategoriza totalmente
como Parque Ecológico Distrital de Montaña Santa Librada - Bologna</t>
  </si>
  <si>
    <t>DECRETO 190
Ha</t>
  </si>
  <si>
    <t>DECRETO 364
Ha</t>
  </si>
  <si>
    <t>PROPUESTA 2019
Ha</t>
  </si>
  <si>
    <t>Recategorización total como parte de la RFPP Cuenca Alta del Río Bogotá.</t>
  </si>
  <si>
    <t>Recategorización parcial como parte de la Reserva Forestal Regional Productora del Norte de Bogotá DC
"TVdH"</t>
  </si>
  <si>
    <t>Recategorización total como parte de la Parque Ecológico Rural Cuenca Alta del Río Tunjuelo y como parte del corredor
ecológico Corredor Ecológico Rural.</t>
  </si>
  <si>
    <t>Se amplia incorporando el suelo de protección declarado por la Secretaria Distrital de Planeación con base
en los estudios que el IDIGER desarrollo para el sector de Nueva Esperanza, y adicionalmente
se incorporó al suelo urbano los tres polígonos que conforman esta área protegida con lo cual la autoridad ambiental sería la Secretara Distrital de Ambiente.</t>
  </si>
  <si>
    <t>Recategorización parcial como parte de las áreas Reserva Forestal Regional Productora del Norte de Bogotá DC
"TVdH" y RFPP Cuenca Alta del Río Bogotá. 
Aumenta su área sobre el predio “El Charrascal” en armonía
con la Resolución SDA 3653 de 2014</t>
  </si>
  <si>
    <t xml:space="preserve"> Tunal – Concepción, Capitolio - Santo Domingo, Lagunitas, Raizal – Peñalisa, Quebradas de Pasquilla, Chorro de Arriba, El Zarpazo, Chorreras, Sopas, Mochuelo Bajo, Las Vegas, La Requilina, Mochuelo Alto, Qda. Suate, Ánimas, Qda. Olarte, Rio Chochal, Rio Medios, San Juan, y Tabaco - Pontezuela - Llano Grande.</t>
  </si>
  <si>
    <t>Alto Sumapaz, Cuenca Alta del Río Bogotá, Río Chochal, Lagunas del Alar y Río Pontezuela.</t>
  </si>
  <si>
    <t xml:space="preserve"> El Istmo</t>
  </si>
  <si>
    <t>Del Sumapaz, Quiba, La Requilina - El Uval, Las Auras y Los Soches.</t>
  </si>
  <si>
    <t>Parque Lineal Hídrico del Río Bogotá</t>
  </si>
  <si>
    <t>Se delimitabam posteriormente por la SDA y el JBB</t>
  </si>
  <si>
    <t>Los definen el Sistema de Movilidad del D. 364</t>
  </si>
  <si>
    <t>No se delimitan solo se muestra donde pueden ser localizados</t>
  </si>
  <si>
    <t xml:space="preserve">No se delimitan </t>
  </si>
  <si>
    <t>PROPUESTA ACTUAL</t>
  </si>
  <si>
    <t>ESTADO ACTUAL</t>
  </si>
  <si>
    <t>No era parte</t>
  </si>
  <si>
    <t>38,41 Es el mismo chuscales</t>
  </si>
  <si>
    <t>ESTADO ACTUAL
(Has)</t>
  </si>
  <si>
    <t>No figura</t>
  </si>
  <si>
    <t>Cerro de La Conejera</t>
  </si>
  <si>
    <t>Peña Blanca en 364 estan en una misma area se encuentra junto con la regadera</t>
  </si>
  <si>
    <t>Po cruce por cuenca alta</t>
  </si>
  <si>
    <t>AREAS PROTEGIDAS Y ESTRATEGIAS PARA LA CONSERVACIÓN IN SITU</t>
  </si>
  <si>
    <t>ESTRATEGIAS PARA LA CONSERVACIÓN IN SITU</t>
  </si>
  <si>
    <t>Parque Lineal Hídrico de los ríos Tunjuelo, Fucha, Arzobispo, Salitre, las quebradas Yomasa, Morales-Nutria, Chigüaza y los canales Virrey, Molinos, Comuneros, Cundinamarca, Cedro, Torca, Francisco, Boyacá y Albina</t>
  </si>
  <si>
    <t>Corredores Ecologicos de Ronda</t>
  </si>
  <si>
    <t xml:space="preserve">AREA PROTEGIDAS DEL ORDEN NACIONAL Y REGIONAL </t>
  </si>
  <si>
    <t>AREAS PROTEGIDAS ORDEN DISTRITAL</t>
  </si>
  <si>
    <t xml:space="preserve">AREA PROTEGIDAS DEL ORDEN NACIONAL -SINAP-PUBLICAS </t>
  </si>
  <si>
    <t>AREA PROTEGIDAS DEL ORDEN NACIONAL -SINAP-PRIVADAS</t>
  </si>
  <si>
    <t>AREA</t>
  </si>
  <si>
    <t>Mirador Los Nevados</t>
  </si>
  <si>
    <t>Cerro Seco</t>
  </si>
  <si>
    <t>Serranía de Zuqué</t>
  </si>
  <si>
    <t>Sierras de Chicó</t>
  </si>
  <si>
    <t>Soratama</t>
  </si>
  <si>
    <t>SISTEMA HÍDRICO</t>
  </si>
  <si>
    <t>PARQUES URBANOS Y RURALES</t>
  </si>
  <si>
    <t>ÁREAS PROTEGIDAS DEL ORDEN DISTRITAL</t>
  </si>
  <si>
    <t xml:space="preserve"> ESTRATEGIAS PARA LA CONSERVACIÓN IN SITU</t>
  </si>
  <si>
    <t>AREAS PROTEGIDAS SINAP</t>
  </si>
  <si>
    <t>Red del Parque del rio Bogotá(Parque Lineal Hídrico Río Bogotá, Áreas para la adaptación al cambio climático)</t>
  </si>
  <si>
    <t>Humedal Tingua Azul</t>
  </si>
  <si>
    <t>Parques de Borde</t>
  </si>
  <si>
    <t>AREA DE CONSERVACIÓN IN SITU</t>
  </si>
  <si>
    <t>Humedal Salitre</t>
  </si>
  <si>
    <t>Nacimientos de Agua y sus rondas</t>
  </si>
  <si>
    <t>Áreas de recarga de acuíferos</t>
  </si>
  <si>
    <t>PÁRAMOS</t>
  </si>
  <si>
    <t xml:space="preserve">Humedal de Jaboque </t>
  </si>
  <si>
    <t>Subzona de manejo y uso de importancia ambiental del POMCA rio Bogotá</t>
  </si>
  <si>
    <t>SUBZONA DE IMPORTANCIA AMBIENTAL DEL POMCA RIO BOGOTÁ</t>
  </si>
  <si>
    <t>Parque de Borde de Cerro Seco</t>
  </si>
  <si>
    <t>Instrumento de Manejo</t>
  </si>
  <si>
    <t>Urbano</t>
  </si>
  <si>
    <t>Expansión</t>
  </si>
  <si>
    <t>Rural</t>
  </si>
  <si>
    <t xml:space="preserve">Agroparque Los Soches </t>
  </si>
  <si>
    <t>Agroparque La Requilina -Uval</t>
  </si>
  <si>
    <t xml:space="preserve">Agroparque Quiba </t>
  </si>
  <si>
    <t xml:space="preserve">Agroparque Pilar, San Juan, Sumapaz </t>
  </si>
  <si>
    <t>Santa Librada- Bolonia</t>
  </si>
  <si>
    <t>Canales</t>
  </si>
  <si>
    <t>Lagos y Lagunas y sus rondas</t>
  </si>
  <si>
    <t>Parque de los Cerros Orientales (Áreas de ocupación publico prioritaria de la Franja de adecuación.)</t>
  </si>
  <si>
    <t>Áreas de Resiliencia Climática</t>
  </si>
  <si>
    <t xml:space="preserve">AREA DE RESILIENCIA CLIMATICA </t>
  </si>
  <si>
    <t>N/A</t>
  </si>
  <si>
    <t xml:space="preserve">Acto Administrativo que delimita y/o entrega Lineamientos de Manejo </t>
  </si>
  <si>
    <t xml:space="preserve">Plan de Manejo Ambiental </t>
  </si>
  <si>
    <t>Plan de Manejo</t>
  </si>
  <si>
    <t xml:space="preserve">Resolución 032 de 2007 </t>
  </si>
  <si>
    <t xml:space="preserve">Acuerdo 30 de 1976
Resolución 138 de 2014 </t>
  </si>
  <si>
    <t xml:space="preserve">Resolución 206 de 2003 </t>
  </si>
  <si>
    <t xml:space="preserve">Resolución 271 de 2008 </t>
  </si>
  <si>
    <t>Proyecto de Acuerdo POT 2021</t>
  </si>
  <si>
    <t>Acuerdo CAR  11 de 2011
Acuerdo CAR 21 de 2014</t>
  </si>
  <si>
    <t>Decreto 485 de 2015</t>
  </si>
  <si>
    <t>Decreto 190 de 2004</t>
  </si>
  <si>
    <t xml:space="preserve">Resolución SDA No. 7473 de 2009 </t>
  </si>
  <si>
    <t>Resolución SDA No. 0334 de 2007</t>
  </si>
  <si>
    <t xml:space="preserve">Resolución SDA No. 4383 de 2008 </t>
  </si>
  <si>
    <t xml:space="preserve">Resolución SDA No. 4573 de 2009 </t>
  </si>
  <si>
    <t>Resolución SDA No. 7474 de 2009</t>
  </si>
  <si>
    <t>Resolución Conjunta SDA-CAR No. 03 de 2015</t>
  </si>
  <si>
    <t xml:space="preserve">Resolución SDA No. 1504 de 2008 </t>
  </si>
  <si>
    <t xml:space="preserve">Resolución conjunta SDA-CAR No. 01 de 2015 </t>
  </si>
  <si>
    <t>Resolución SDA No. 3887 de 2010</t>
  </si>
  <si>
    <t xml:space="preserve">Resolución SDA No. 0069 de 2015 </t>
  </si>
  <si>
    <t xml:space="preserve">Resolución SDA No. 03561 de 2019 </t>
  </si>
  <si>
    <t>Decreto 437 de 2005
Decreto 615 de 2007</t>
  </si>
  <si>
    <t>Decreto 437 de 2005
Decreto 615 de 2007
Proyecto de Acuerdo POT 2021</t>
  </si>
  <si>
    <t>Acuerdo 30 de 1976
Resolución 463 de 2005
Resolución 1766 de 2016</t>
  </si>
  <si>
    <t xml:space="preserve">Ley 1930 de 2018 
Resolución 886 de 2018 </t>
  </si>
  <si>
    <t>Acuerdo 577 de  2014</t>
  </si>
  <si>
    <t xml:space="preserve">Acuerdo 577 de  2014
Resolución SDA No. 01656 de 2019 </t>
  </si>
  <si>
    <t>Resolución CAR 957 de 2019</t>
  </si>
  <si>
    <t>Decreto 190 de 2004
Resolución Conjunta CAR-SDA No. 002 del 13 de febrero de 2015</t>
  </si>
  <si>
    <t xml:space="preserve">Decreto 190 de 2004
Resolución SDA No. 7773 de 2010 </t>
  </si>
  <si>
    <t>Cuenca del Río Guayuriba</t>
  </si>
  <si>
    <t>Corredor Paso Colorado - Peñas Blancas</t>
  </si>
  <si>
    <t>Complejo de humedales El Tunjo</t>
  </si>
  <si>
    <t>Humedal  Hyntiba</t>
  </si>
  <si>
    <t>Canales y sus rondas</t>
  </si>
  <si>
    <t>Ríos, quebradas y sus rondas</t>
  </si>
  <si>
    <t>Pantanos y sus rondas</t>
  </si>
  <si>
    <t>Embalses y sus rondas</t>
  </si>
  <si>
    <t xml:space="preserve">Humedal Chingasuque </t>
  </si>
  <si>
    <t>Humedales declarados como Reserva Distrital de Humedal</t>
  </si>
  <si>
    <t>Lagos y Lagunas artificiales</t>
  </si>
  <si>
    <t>COMPONENTES, CATEGORIAS Y ELEMENTOS DE LA ESTRUCTURA ECOLOGICA PRINCIPAL DEL D.C.</t>
  </si>
  <si>
    <t>Parque Natural Nacional Sumapaz</t>
  </si>
  <si>
    <t xml:space="preserve">Reserva Forestal Protectora Productora de la cuenca alta del rio Bogotá </t>
  </si>
  <si>
    <t xml:space="preserve">Cuerpos Hídricos Naturales </t>
  </si>
  <si>
    <t xml:space="preserve">Ver matriz de Sistema Hídrico </t>
  </si>
  <si>
    <t xml:space="preserve">Cuerpos Hídricos Artificiales </t>
  </si>
  <si>
    <t>Acequias, vallados y humedales artificiales</t>
  </si>
  <si>
    <t>Áera Total (ha)</t>
  </si>
  <si>
    <t>Área por Clasificación del suelo (ha)</t>
  </si>
  <si>
    <t>Humedales y sus rondas</t>
  </si>
  <si>
    <t>Áreas de Resiliencia Climática y Protección de Riesgo</t>
  </si>
  <si>
    <t>Reservas Distritales de Humedal</t>
  </si>
  <si>
    <t>Parques Distritales Ecológicos de Montaña</t>
  </si>
  <si>
    <t>Paisajes Sostenibles</t>
  </si>
  <si>
    <t>Parques contemplativos y de la red estructurantes que hacen parte de la EEP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</si>
</sst>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0"/>
    <numFmt numFmtId="166" formatCode="0.000"/>
    <numFmt numFmtId="167" formatCode="0.0"/>
  </numFmts>
  <fonts count="4" x14ac:knownFonts="1">
    <font>
      <sz val="11"/>
      <color theme="1"/>
      <name val="Century Gothic"/>
      <family val="2"/>
    </font>
    <font>
      <sz val="11"/>
      <name val="Century Gothic"/>
      <family val="2"/>
    </font>
    <font>
      <b/>
      <sz val="16"/>
      <color theme="1"/>
      <name val="Century Gothic"/>
      <family val="2"/>
    </font>
    <font>
      <sz val="16"/>
      <color theme="1"/>
      <name val="Century Gothic"/>
      <family val="2"/>
    </font>
  </fonts>
  <fills count="14">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99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CC99FF"/>
        <bgColor indexed="64"/>
      </patternFill>
    </fill>
    <fill>
      <patternFill patternType="solid">
        <fgColor theme="0" tint="-0.14999847407452621"/>
        <bgColor indexed="64"/>
      </patternFill>
    </fill>
    <fill>
      <patternFill patternType="solid">
        <fgColor rgb="FFFF99CC"/>
        <bgColor indexed="64"/>
      </patternFill>
    </fill>
    <fill>
      <patternFill patternType="solid">
        <fgColor theme="0"/>
        <bgColor indexed="64"/>
      </patternFill>
    </fill>
    <fill>
      <patternFill patternType="solid">
        <fgColor rgb="FFFCE4D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5">
    <xf numFmtId="0" fontId="0" fillId="0" borderId="0" xfId="0"/>
    <xf numFmtId="0" fontId="0" fillId="0" borderId="1" xfId="0" applyBorder="1"/>
    <xf numFmtId="0" fontId="0" fillId="0" borderId="1" xfId="0" applyBorder="1" applyAlignment="1">
      <alignment horizontal="center"/>
    </xf>
    <xf numFmtId="0" fontId="0" fillId="0" borderId="0" xfId="0" applyAlignment="1">
      <alignment horizontal="center"/>
    </xf>
    <xf numFmtId="0" fontId="0" fillId="0" borderId="1" xfId="0" applyFill="1" applyBorder="1"/>
    <xf numFmtId="0" fontId="0" fillId="0" borderId="4" xfId="0" applyFill="1" applyBorder="1"/>
    <xf numFmtId="0" fontId="0" fillId="0" borderId="2" xfId="0" applyBorder="1" applyAlignment="1">
      <alignment horizontal="center"/>
    </xf>
    <xf numFmtId="0" fontId="0" fillId="0" borderId="6" xfId="0" applyBorder="1"/>
    <xf numFmtId="0" fontId="0" fillId="0" borderId="0" xfId="0" applyAlignment="1">
      <alignment vertical="center"/>
    </xf>
    <xf numFmtId="0" fontId="0" fillId="0" borderId="1" xfId="0" applyBorder="1" applyAlignment="1">
      <alignment horizontal="center" vertical="center"/>
    </xf>
    <xf numFmtId="0" fontId="0" fillId="0" borderId="6" xfId="0" applyFill="1" applyBorder="1"/>
    <xf numFmtId="0" fontId="0" fillId="0" borderId="1" xfId="0" applyBorder="1" applyAlignment="1">
      <alignment wrapText="1"/>
    </xf>
    <xf numFmtId="0" fontId="0" fillId="0" borderId="1" xfId="0" applyBorder="1" applyAlignment="1">
      <alignment horizontal="justify" vertical="center" wrapText="1"/>
    </xf>
    <xf numFmtId="0" fontId="0" fillId="0" borderId="0" xfId="0" applyBorder="1" applyAlignment="1">
      <alignment horizontal="justify"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0" xfId="0" applyBorder="1" applyAlignment="1">
      <alignment horizontal="center"/>
    </xf>
    <xf numFmtId="164" fontId="0" fillId="0" borderId="1" xfId="0" applyNumberFormat="1" applyBorder="1"/>
    <xf numFmtId="164" fontId="0" fillId="2" borderId="1" xfId="0" applyNumberFormat="1" applyFill="1" applyBorder="1"/>
    <xf numFmtId="0" fontId="0" fillId="0" borderId="0" xfId="0" applyAlignment="1">
      <alignment horizontal="right" wrapText="1"/>
    </xf>
    <xf numFmtId="0" fontId="0" fillId="0" borderId="1" xfId="0" applyBorder="1" applyAlignment="1">
      <alignment horizontal="right" wrapText="1"/>
    </xf>
    <xf numFmtId="0" fontId="0" fillId="3" borderId="1" xfId="0" applyFill="1" applyBorder="1"/>
    <xf numFmtId="0" fontId="0" fillId="0" borderId="1" xfId="0" applyBorder="1" applyAlignment="1">
      <alignment horizontal="justify" vertical="justify" wrapText="1"/>
    </xf>
    <xf numFmtId="164" fontId="0" fillId="0" borderId="1" xfId="0" applyNumberFormat="1" applyFill="1" applyBorder="1"/>
    <xf numFmtId="0" fontId="0" fillId="0" borderId="1" xfId="0" applyFill="1" applyBorder="1" applyAlignment="1">
      <alignment horizontal="right" wrapText="1"/>
    </xf>
    <xf numFmtId="0" fontId="0" fillId="3" borderId="1" xfId="0" applyFill="1" applyBorder="1" applyAlignment="1">
      <alignment horizontal="right" wrapText="1"/>
    </xf>
    <xf numFmtId="164" fontId="0" fillId="3" borderId="1" xfId="0" applyNumberFormat="1" applyFill="1" applyBorder="1"/>
    <xf numFmtId="0" fontId="0" fillId="0" borderId="1" xfId="0" applyFill="1" applyBorder="1" applyAlignment="1">
      <alignment horizontal="center"/>
    </xf>
    <xf numFmtId="0" fontId="0" fillId="0" borderId="1" xfId="0" applyFill="1" applyBorder="1" applyAlignment="1">
      <alignment horizontal="center" vertical="center" wrapText="1"/>
    </xf>
    <xf numFmtId="0" fontId="0" fillId="0" borderId="1" xfId="0" applyBorder="1" applyAlignment="1">
      <alignment horizontal="justify" vertical="center"/>
    </xf>
    <xf numFmtId="0" fontId="0" fillId="4" borderId="1" xfId="0" applyFill="1" applyBorder="1"/>
    <xf numFmtId="0" fontId="0" fillId="5" borderId="1" xfId="0" applyFill="1" applyBorder="1"/>
    <xf numFmtId="0" fontId="0" fillId="0" borderId="0" xfId="0" applyAlignment="1">
      <alignment horizontal="justify" vertical="center" wrapText="1"/>
    </xf>
    <xf numFmtId="0" fontId="0" fillId="9" borderId="1" xfId="0" applyFill="1" applyBorder="1" applyAlignment="1">
      <alignment wrapText="1"/>
    </xf>
    <xf numFmtId="0" fontId="0" fillId="9" borderId="3" xfId="0" applyFill="1" applyBorder="1" applyAlignment="1">
      <alignment horizontal="left" vertical="center" wrapText="1"/>
    </xf>
    <xf numFmtId="0" fontId="0" fillId="0" borderId="0" xfId="0" applyAlignment="1">
      <alignment wrapText="1"/>
    </xf>
    <xf numFmtId="0" fontId="0" fillId="8" borderId="1" xfId="0" applyFill="1" applyBorder="1" applyAlignment="1">
      <alignment horizontal="left" vertical="center" wrapText="1"/>
    </xf>
    <xf numFmtId="0" fontId="0" fillId="7" borderId="4" xfId="0" applyFill="1" applyBorder="1" applyAlignment="1">
      <alignment horizontal="left" vertical="center" wrapText="1"/>
    </xf>
    <xf numFmtId="0" fontId="0" fillId="7" borderId="1" xfId="0" applyFill="1" applyBorder="1" applyAlignment="1">
      <alignment horizontal="left" vertical="center" wrapText="1"/>
    </xf>
    <xf numFmtId="0" fontId="0" fillId="7" borderId="1" xfId="0" applyFill="1" applyBorder="1" applyAlignment="1">
      <alignment horizontal="justify" vertical="center" wrapText="1"/>
    </xf>
    <xf numFmtId="0" fontId="0" fillId="8" borderId="5" xfId="0" applyFill="1" applyBorder="1" applyAlignment="1">
      <alignment horizontal="left" vertical="center" wrapText="1"/>
    </xf>
    <xf numFmtId="0" fontId="0" fillId="5" borderId="1" xfId="0" applyFill="1" applyBorder="1" applyAlignment="1">
      <alignment horizontal="center"/>
    </xf>
    <xf numFmtId="0" fontId="0" fillId="0" borderId="1" xfId="0" applyBorder="1" applyAlignment="1">
      <alignment horizontal="left" wrapText="1"/>
    </xf>
    <xf numFmtId="0" fontId="0" fillId="0" borderId="1" xfId="0" applyBorder="1" applyAlignment="1">
      <alignment horizontal="center" wrapText="1"/>
    </xf>
    <xf numFmtId="0" fontId="0" fillId="9" borderId="5" xfId="0" applyFill="1" applyBorder="1" applyAlignment="1">
      <alignment wrapText="1"/>
    </xf>
    <xf numFmtId="0" fontId="1" fillId="9" borderId="1" xfId="0" applyFont="1" applyFill="1" applyBorder="1" applyAlignment="1">
      <alignment wrapText="1"/>
    </xf>
    <xf numFmtId="0" fontId="0" fillId="9" borderId="1" xfId="0" applyFont="1" applyFill="1" applyBorder="1" applyAlignment="1">
      <alignment wrapText="1"/>
    </xf>
    <xf numFmtId="0" fontId="0" fillId="9" borderId="1" xfId="0" applyFill="1" applyBorder="1" applyAlignment="1">
      <alignment vertical="center" wrapText="1"/>
    </xf>
    <xf numFmtId="0" fontId="0" fillId="9" borderId="1" xfId="0" applyFill="1" applyBorder="1" applyAlignment="1">
      <alignment horizontal="justify" vertical="center" wrapText="1"/>
    </xf>
    <xf numFmtId="0" fontId="0" fillId="0" borderId="0" xfId="0" applyAlignment="1">
      <alignment horizontal="left" wrapText="1"/>
    </xf>
    <xf numFmtId="0" fontId="0" fillId="0" borderId="0" xfId="0" applyAlignment="1">
      <alignment vertical="center" wrapText="1"/>
    </xf>
    <xf numFmtId="2" fontId="0" fillId="0" borderId="1" xfId="0" applyNumberFormat="1" applyBorder="1" applyAlignment="1">
      <alignment horizontal="center" vertical="center"/>
    </xf>
    <xf numFmtId="2" fontId="0" fillId="10" borderId="1" xfId="0" applyNumberFormat="1" applyFill="1" applyBorder="1" applyAlignment="1">
      <alignment horizontal="center" vertical="center"/>
    </xf>
    <xf numFmtId="2" fontId="0" fillId="11" borderId="1" xfId="0" applyNumberFormat="1" applyFill="1" applyBorder="1" applyAlignment="1">
      <alignment horizontal="center" vertical="center"/>
    </xf>
    <xf numFmtId="165"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0" fontId="0" fillId="0" borderId="1" xfId="0" applyBorder="1" applyAlignment="1">
      <alignment horizontal="center" vertical="center"/>
    </xf>
    <xf numFmtId="165" fontId="0" fillId="12" borderId="1" xfId="0" applyNumberFormat="1" applyFill="1" applyBorder="1" applyAlignment="1">
      <alignment horizontal="center" vertical="center"/>
    </xf>
    <xf numFmtId="2" fontId="0" fillId="12" borderId="1" xfId="0" applyNumberFormat="1" applyFill="1" applyBorder="1" applyAlignment="1">
      <alignment horizontal="center" vertical="center"/>
    </xf>
    <xf numFmtId="2" fontId="0" fillId="0" borderId="0" xfId="0" applyNumberFormat="1"/>
    <xf numFmtId="166" fontId="0" fillId="0" borderId="1" xfId="0" applyNumberFormat="1" applyBorder="1" applyAlignment="1">
      <alignment horizontal="center" vertical="center"/>
    </xf>
    <xf numFmtId="166" fontId="0" fillId="12" borderId="1" xfId="0" applyNumberFormat="1" applyFill="1" applyBorder="1" applyAlignment="1">
      <alignment horizontal="center" vertical="center"/>
    </xf>
    <xf numFmtId="167" fontId="0" fillId="0" borderId="1" xfId="0" applyNumberFormat="1" applyBorder="1" applyAlignment="1">
      <alignment horizontal="center" vertical="center"/>
    </xf>
    <xf numFmtId="167" fontId="0" fillId="12" borderId="1" xfId="0" applyNumberFormat="1" applyFill="1" applyBorder="1" applyAlignment="1">
      <alignment horizontal="center" vertical="center"/>
    </xf>
    <xf numFmtId="2" fontId="0" fillId="9" borderId="5" xfId="0" applyNumberFormat="1" applyFill="1" applyBorder="1" applyAlignment="1">
      <alignment horizontal="center" vertical="center" wrapText="1"/>
    </xf>
    <xf numFmtId="1" fontId="0" fillId="0" borderId="1" xfId="0" applyNumberFormat="1" applyBorder="1" applyAlignment="1">
      <alignment horizontal="center" vertical="center"/>
    </xf>
    <xf numFmtId="0" fontId="0" fillId="13" borderId="1" xfId="0" applyFill="1" applyBorder="1" applyAlignment="1">
      <alignment wrapText="1"/>
    </xf>
    <xf numFmtId="0" fontId="0" fillId="8" borderId="3" xfId="0" applyFill="1" applyBorder="1" applyAlignment="1">
      <alignment horizontal="left" vertical="center" wrapText="1"/>
    </xf>
    <xf numFmtId="0" fontId="0" fillId="8" borderId="4" xfId="0" applyFill="1" applyBorder="1" applyAlignment="1">
      <alignment horizontal="left" vertical="center" wrapText="1"/>
    </xf>
    <xf numFmtId="0" fontId="0" fillId="8" borderId="5" xfId="0" applyFill="1" applyBorder="1" applyAlignment="1">
      <alignment horizontal="left" vertical="center" wrapText="1"/>
    </xf>
    <xf numFmtId="0" fontId="0" fillId="13" borderId="1" xfId="0" applyFill="1" applyBorder="1" applyAlignment="1">
      <alignment horizontal="left" vertical="center" wrapText="1"/>
    </xf>
    <xf numFmtId="0" fontId="0" fillId="6" borderId="1" xfId="0" applyFill="1" applyBorder="1" applyAlignment="1">
      <alignment horizontal="left" vertical="center" wrapText="1"/>
    </xf>
    <xf numFmtId="0" fontId="0" fillId="8" borderId="1" xfId="0" applyFill="1" applyBorder="1" applyAlignment="1">
      <alignment horizontal="left" vertical="center" wrapText="1"/>
    </xf>
    <xf numFmtId="0" fontId="0" fillId="7" borderId="1" xfId="0" applyFill="1" applyBorder="1" applyAlignment="1">
      <alignment horizontal="center" vertical="center" wrapText="1"/>
    </xf>
    <xf numFmtId="0" fontId="0" fillId="7" borderId="1" xfId="0" applyFill="1" applyBorder="1" applyAlignment="1">
      <alignment horizontal="left" vertical="center" wrapText="1"/>
    </xf>
    <xf numFmtId="0" fontId="0" fillId="7" borderId="3" xfId="0" applyFill="1" applyBorder="1" applyAlignment="1">
      <alignment horizontal="left" vertical="center" wrapText="1"/>
    </xf>
    <xf numFmtId="0" fontId="0" fillId="7" borderId="4" xfId="0" applyFill="1" applyBorder="1" applyAlignment="1">
      <alignment horizontal="left" vertical="center" wrapText="1"/>
    </xf>
    <xf numFmtId="0" fontId="0" fillId="7" borderId="5" xfId="0"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7" borderId="1" xfId="0" applyFill="1" applyBorder="1" applyAlignment="1">
      <alignment horizontal="justify" vertical="center" wrapText="1"/>
    </xf>
    <xf numFmtId="0" fontId="0" fillId="6" borderId="1" xfId="0" applyFill="1" applyBorder="1" applyAlignment="1">
      <alignment horizontal="center" vertical="center" wrapText="1"/>
    </xf>
    <xf numFmtId="0" fontId="2"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5" borderId="1" xfId="0" applyFill="1" applyBorder="1" applyAlignment="1">
      <alignment horizontal="center"/>
    </xf>
    <xf numFmtId="0" fontId="0" fillId="5" borderId="1" xfId="0" applyFill="1" applyBorder="1" applyAlignment="1">
      <alignment horizontal="center" wrapText="1"/>
    </xf>
    <xf numFmtId="0" fontId="0" fillId="8" borderId="1" xfId="0" applyFill="1" applyBorder="1" applyAlignment="1">
      <alignment horizontal="center" wrapText="1"/>
    </xf>
    <xf numFmtId="0" fontId="0" fillId="9" borderId="1" xfId="0" applyFill="1" applyBorder="1" applyAlignment="1">
      <alignment horizontal="center" wrapText="1"/>
    </xf>
    <xf numFmtId="0" fontId="0" fillId="9" borderId="3" xfId="0" applyFill="1" applyBorder="1" applyAlignment="1">
      <alignment horizontal="center" wrapText="1"/>
    </xf>
    <xf numFmtId="0" fontId="0" fillId="9" borderId="5" xfId="0" applyFill="1" applyBorder="1" applyAlignment="1">
      <alignment horizontal="center" wrapText="1"/>
    </xf>
    <xf numFmtId="0" fontId="0" fillId="0" borderId="7" xfId="0" applyBorder="1" applyAlignment="1">
      <alignment horizontal="center"/>
    </xf>
    <xf numFmtId="0" fontId="0" fillId="0" borderId="1" xfId="0" applyBorder="1" applyAlignment="1">
      <alignment horizontal="left"/>
    </xf>
    <xf numFmtId="0" fontId="0" fillId="0" borderId="1" xfId="0" applyBorder="1" applyAlignment="1">
      <alignment horizontal="center" vertical="center"/>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Fill="1" applyBorder="1" applyAlignment="1">
      <alignment horizontal="left"/>
    </xf>
    <xf numFmtId="0" fontId="0" fillId="0" borderId="4" xfId="0" applyFill="1" applyBorder="1" applyAlignment="1">
      <alignment horizontal="left"/>
    </xf>
    <xf numFmtId="0" fontId="0" fillId="0" borderId="5" xfId="0" applyFill="1" applyBorder="1" applyAlignment="1">
      <alignment horizontal="left"/>
    </xf>
    <xf numFmtId="0" fontId="0" fillId="0" borderId="1" xfId="0" applyFill="1" applyBorder="1" applyAlignment="1">
      <alignment horizontal="left"/>
    </xf>
  </cellXfs>
  <cellStyles count="1">
    <cellStyle name="Normal" xfId="0" builtinId="0"/>
  </cellStyles>
  <dxfs count="1">
    <dxf>
      <fill>
        <patternFill>
          <bgColor rgb="FFFFCC99"/>
        </patternFill>
      </fill>
    </dxf>
  </dxfs>
  <tableStyles count="0" defaultTableStyle="TableStyleMedium2" defaultPivotStyle="PivotStyleLight16"/>
  <colors>
    <mruColors>
      <color rgb="FFFCE4D6"/>
      <color rgb="FFCC99FF"/>
      <color rgb="FFFF99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3858E-CCC3-4500-9A14-0C6E168996AF}">
  <dimension ref="A1:N64"/>
  <sheetViews>
    <sheetView tabSelected="1" topLeftCell="C19" zoomScale="84" zoomScaleNormal="84" workbookViewId="0">
      <selection activeCell="D58" sqref="D58"/>
    </sheetView>
  </sheetViews>
  <sheetFormatPr baseColWidth="10" defaultColWidth="11.625" defaultRowHeight="16.5" x14ac:dyDescent="0.3"/>
  <cols>
    <col min="1" max="1" width="41" style="50" customWidth="1"/>
    <col min="2" max="2" width="48.875" style="32" bestFit="1" customWidth="1"/>
    <col min="3" max="3" width="58.25" style="49" customWidth="1"/>
    <col min="4" max="4" width="50" style="35" customWidth="1"/>
    <col min="5" max="5" width="14.125" style="35" bestFit="1" customWidth="1"/>
    <col min="6" max="6" width="15.25" customWidth="1"/>
    <col min="7" max="7" width="14.625" customWidth="1"/>
    <col min="8" max="8" width="16.25" customWidth="1"/>
    <col min="9" max="9" width="26.375" bestFit="1" customWidth="1"/>
    <col min="10" max="10" width="30.125" style="35" customWidth="1"/>
  </cols>
  <sheetData>
    <row r="1" spans="1:10" ht="17.25" thickBot="1" x14ac:dyDescent="0.35"/>
    <row r="2" spans="1:10" ht="69" customHeight="1" thickBot="1" x14ac:dyDescent="0.35">
      <c r="B2" s="83" t="s">
        <v>264</v>
      </c>
      <c r="C2" s="84"/>
      <c r="D2" s="84"/>
      <c r="E2" s="84"/>
      <c r="F2" s="84"/>
      <c r="G2" s="84"/>
      <c r="H2" s="84"/>
      <c r="I2" s="84"/>
      <c r="J2" s="85"/>
    </row>
    <row r="3" spans="1:10" ht="6" customHeight="1" x14ac:dyDescent="0.3"/>
    <row r="4" spans="1:10" ht="28.5" customHeight="1" x14ac:dyDescent="0.3">
      <c r="A4" s="82" t="s">
        <v>72</v>
      </c>
      <c r="B4" s="73" t="s">
        <v>73</v>
      </c>
      <c r="C4" s="88" t="s">
        <v>74</v>
      </c>
      <c r="D4" s="89" t="s">
        <v>184</v>
      </c>
      <c r="E4" s="90" t="s">
        <v>271</v>
      </c>
      <c r="F4" s="86" t="s">
        <v>272</v>
      </c>
      <c r="G4" s="86"/>
      <c r="H4" s="86"/>
      <c r="I4" s="86" t="s">
        <v>207</v>
      </c>
      <c r="J4" s="87" t="s">
        <v>222</v>
      </c>
    </row>
    <row r="5" spans="1:10" ht="28.5" customHeight="1" x14ac:dyDescent="0.3">
      <c r="A5" s="82"/>
      <c r="B5" s="73"/>
      <c r="C5" s="88"/>
      <c r="D5" s="89"/>
      <c r="E5" s="91"/>
      <c r="F5" s="41" t="s">
        <v>208</v>
      </c>
      <c r="G5" s="41" t="s">
        <v>209</v>
      </c>
      <c r="H5" s="41" t="s">
        <v>210</v>
      </c>
      <c r="I5" s="86"/>
      <c r="J5" s="87"/>
    </row>
    <row r="6" spans="1:10" ht="16.5" customHeight="1" x14ac:dyDescent="0.3">
      <c r="A6" s="79" t="s">
        <v>194</v>
      </c>
      <c r="B6" s="77" t="s">
        <v>182</v>
      </c>
      <c r="C6" s="40" t="s">
        <v>265</v>
      </c>
      <c r="D6" s="44" t="s">
        <v>265</v>
      </c>
      <c r="E6" s="64">
        <v>46718.903676496098</v>
      </c>
      <c r="F6" s="56"/>
      <c r="G6" s="56"/>
      <c r="H6" s="51">
        <v>46718.903676496098</v>
      </c>
      <c r="I6" s="2" t="s">
        <v>223</v>
      </c>
      <c r="J6" s="42" t="s">
        <v>225</v>
      </c>
    </row>
    <row r="7" spans="1:10" ht="49.5" x14ac:dyDescent="0.3">
      <c r="A7" s="79"/>
      <c r="B7" s="74"/>
      <c r="C7" s="36" t="s">
        <v>76</v>
      </c>
      <c r="D7" s="33" t="s">
        <v>76</v>
      </c>
      <c r="E7" s="64">
        <v>13032.6041123872</v>
      </c>
      <c r="F7" s="54"/>
      <c r="G7" s="56"/>
      <c r="H7" s="51">
        <v>13032.6041123872</v>
      </c>
      <c r="I7" s="2" t="s">
        <v>223</v>
      </c>
      <c r="J7" s="42" t="s">
        <v>246</v>
      </c>
    </row>
    <row r="8" spans="1:10" ht="16.5" customHeight="1" x14ac:dyDescent="0.3">
      <c r="A8" s="79"/>
      <c r="B8" s="74" t="s">
        <v>183</v>
      </c>
      <c r="C8" s="72" t="s">
        <v>79</v>
      </c>
      <c r="D8" s="33" t="s">
        <v>89</v>
      </c>
      <c r="E8" s="64">
        <v>101.063987456107</v>
      </c>
      <c r="F8" s="57"/>
      <c r="G8" s="56"/>
      <c r="H8" s="51">
        <v>101.063987456107</v>
      </c>
      <c r="I8" s="2" t="s">
        <v>221</v>
      </c>
      <c r="J8" s="42" t="s">
        <v>227</v>
      </c>
    </row>
    <row r="9" spans="1:10" ht="17.25" customHeight="1" x14ac:dyDescent="0.3">
      <c r="A9" s="80"/>
      <c r="B9" s="74"/>
      <c r="C9" s="72"/>
      <c r="D9" s="33" t="s">
        <v>91</v>
      </c>
      <c r="E9" s="64">
        <v>31.416745592098501</v>
      </c>
      <c r="F9" s="56"/>
      <c r="G9" s="56"/>
      <c r="H9" s="51">
        <v>31.416745592098501</v>
      </c>
      <c r="I9" s="2" t="s">
        <v>221</v>
      </c>
      <c r="J9" s="42" t="s">
        <v>228</v>
      </c>
    </row>
    <row r="10" spans="1:10" ht="33" x14ac:dyDescent="0.3">
      <c r="A10" s="78" t="s">
        <v>193</v>
      </c>
      <c r="B10" s="81" t="s">
        <v>198</v>
      </c>
      <c r="C10" s="36" t="s">
        <v>266</v>
      </c>
      <c r="D10" s="33" t="s">
        <v>266</v>
      </c>
      <c r="E10" s="64">
        <v>20019.7608554734</v>
      </c>
      <c r="F10" s="56"/>
      <c r="G10" s="56"/>
      <c r="H10" s="51">
        <v>20019.7608554734</v>
      </c>
      <c r="I10" s="2" t="s">
        <v>223</v>
      </c>
      <c r="J10" s="42" t="s">
        <v>226</v>
      </c>
    </row>
    <row r="11" spans="1:10" ht="33" customHeight="1" x14ac:dyDescent="0.3">
      <c r="A11" s="79"/>
      <c r="B11" s="81"/>
      <c r="C11" s="36" t="s">
        <v>78</v>
      </c>
      <c r="D11" s="33" t="s">
        <v>78</v>
      </c>
      <c r="E11" s="64">
        <v>1396.2767372384101</v>
      </c>
      <c r="F11" s="55"/>
      <c r="G11" s="56"/>
      <c r="H11" s="51">
        <v>1396.2767372384101</v>
      </c>
      <c r="I11" s="2" t="s">
        <v>223</v>
      </c>
      <c r="J11" s="11" t="s">
        <v>230</v>
      </c>
    </row>
    <row r="12" spans="1:10" ht="16.5" customHeight="1" x14ac:dyDescent="0.3">
      <c r="A12" s="79"/>
      <c r="B12" s="75" t="s">
        <v>192</v>
      </c>
      <c r="C12" s="72" t="s">
        <v>277</v>
      </c>
      <c r="D12" s="33" t="s">
        <v>253</v>
      </c>
      <c r="E12" s="64">
        <v>5070.5172164563</v>
      </c>
      <c r="F12" s="56"/>
      <c r="G12" s="56"/>
      <c r="H12" s="51">
        <v>5070.5172164563</v>
      </c>
      <c r="I12" s="2" t="s">
        <v>221</v>
      </c>
      <c r="J12" s="11" t="s">
        <v>229</v>
      </c>
    </row>
    <row r="13" spans="1:10" x14ac:dyDescent="0.3">
      <c r="A13" s="79"/>
      <c r="B13" s="76"/>
      <c r="C13" s="72"/>
      <c r="D13" s="33" t="s">
        <v>254</v>
      </c>
      <c r="E13" s="64">
        <v>784.13494981665997</v>
      </c>
      <c r="F13" s="56"/>
      <c r="G13" s="56"/>
      <c r="H13" s="51">
        <v>784.13494981665997</v>
      </c>
      <c r="I13" s="2" t="s">
        <v>221</v>
      </c>
      <c r="J13" s="11" t="s">
        <v>229</v>
      </c>
    </row>
    <row r="14" spans="1:10" ht="24" customHeight="1" x14ac:dyDescent="0.3">
      <c r="A14" s="79"/>
      <c r="B14" s="76"/>
      <c r="C14" s="72"/>
      <c r="D14" s="33" t="s">
        <v>215</v>
      </c>
      <c r="E14" s="64">
        <v>11.088752487489627</v>
      </c>
      <c r="F14" s="56"/>
      <c r="G14" s="51">
        <v>11.018220638857565</v>
      </c>
      <c r="H14" s="51">
        <v>7.0531848632061397E-2</v>
      </c>
      <c r="I14" s="2" t="s">
        <v>221</v>
      </c>
      <c r="J14" s="11" t="s">
        <v>245</v>
      </c>
    </row>
    <row r="15" spans="1:10" x14ac:dyDescent="0.3">
      <c r="A15" s="79"/>
      <c r="B15" s="76"/>
      <c r="C15" s="72"/>
      <c r="D15" s="33" t="s">
        <v>211</v>
      </c>
      <c r="E15" s="64">
        <v>208.99708130340699</v>
      </c>
      <c r="F15" s="56"/>
      <c r="G15" s="51"/>
      <c r="H15" s="65">
        <v>208.99708130340699</v>
      </c>
      <c r="I15" s="2" t="s">
        <v>221</v>
      </c>
      <c r="J15" s="11" t="s">
        <v>229</v>
      </c>
    </row>
    <row r="16" spans="1:10" x14ac:dyDescent="0.3">
      <c r="A16" s="79"/>
      <c r="B16" s="76"/>
      <c r="C16" s="72"/>
      <c r="D16" s="33" t="s">
        <v>212</v>
      </c>
      <c r="E16" s="64">
        <v>331.93861135024093</v>
      </c>
      <c r="F16" s="56"/>
      <c r="G16" s="51">
        <v>5.8554510073999282</v>
      </c>
      <c r="H16" s="51">
        <v>326.08316034284098</v>
      </c>
      <c r="I16" s="2" t="s">
        <v>221</v>
      </c>
      <c r="J16" s="11" t="s">
        <v>229</v>
      </c>
    </row>
    <row r="17" spans="1:10" x14ac:dyDescent="0.3">
      <c r="A17" s="79"/>
      <c r="B17" s="76"/>
      <c r="C17" s="72"/>
      <c r="D17" s="33" t="s">
        <v>213</v>
      </c>
      <c r="E17" s="64">
        <v>525.80571980482205</v>
      </c>
      <c r="F17" s="56"/>
      <c r="G17" s="56"/>
      <c r="H17" s="51">
        <v>525.80571980482205</v>
      </c>
      <c r="I17" s="2" t="s">
        <v>221</v>
      </c>
      <c r="J17" s="11" t="s">
        <v>229</v>
      </c>
    </row>
    <row r="18" spans="1:10" ht="18.75" customHeight="1" x14ac:dyDescent="0.3">
      <c r="A18" s="79"/>
      <c r="B18" s="76"/>
      <c r="C18" s="72"/>
      <c r="D18" s="33" t="s">
        <v>214</v>
      </c>
      <c r="E18" s="64">
        <v>4021.1486709631399</v>
      </c>
      <c r="F18" s="56"/>
      <c r="G18" s="56"/>
      <c r="H18" s="51">
        <v>4021.1486709631399</v>
      </c>
      <c r="I18" s="2" t="s">
        <v>221</v>
      </c>
      <c r="J18" s="11" t="s">
        <v>229</v>
      </c>
    </row>
    <row r="19" spans="1:10" ht="16.5" customHeight="1" x14ac:dyDescent="0.3">
      <c r="A19" s="79"/>
      <c r="B19" s="76"/>
      <c r="C19" s="72" t="s">
        <v>276</v>
      </c>
      <c r="D19" s="33" t="s">
        <v>173</v>
      </c>
      <c r="E19" s="64">
        <v>193.08583897846057</v>
      </c>
      <c r="F19" s="60">
        <v>30.219072238935201</v>
      </c>
      <c r="G19" s="58">
        <v>0.26184843353438703</v>
      </c>
      <c r="H19" s="51">
        <v>162.60491830599099</v>
      </c>
      <c r="I19" s="2" t="s">
        <v>223</v>
      </c>
      <c r="J19" s="11" t="s">
        <v>229</v>
      </c>
    </row>
    <row r="20" spans="1:10" x14ac:dyDescent="0.3">
      <c r="A20" s="79"/>
      <c r="B20" s="76"/>
      <c r="C20" s="72"/>
      <c r="D20" s="33" t="s">
        <v>49</v>
      </c>
      <c r="E20" s="64">
        <v>22.031300574638596</v>
      </c>
      <c r="F20" s="61">
        <v>6.8517512059193306E-2</v>
      </c>
      <c r="G20" s="56"/>
      <c r="H20" s="51">
        <v>21.962783062579401</v>
      </c>
      <c r="I20" s="2" t="s">
        <v>223</v>
      </c>
      <c r="J20" s="11" t="s">
        <v>232</v>
      </c>
    </row>
    <row r="21" spans="1:10" ht="33" x14ac:dyDescent="0.3">
      <c r="A21" s="79"/>
      <c r="B21" s="76"/>
      <c r="C21" s="72"/>
      <c r="D21" s="33" t="s">
        <v>92</v>
      </c>
      <c r="E21" s="64">
        <v>701.21937086189746</v>
      </c>
      <c r="F21" s="51">
        <v>491.31198776349942</v>
      </c>
      <c r="G21" s="51">
        <v>209.90738309839799</v>
      </c>
      <c r="H21" s="58"/>
      <c r="I21" s="2" t="s">
        <v>223</v>
      </c>
      <c r="J21" s="11" t="s">
        <v>244</v>
      </c>
    </row>
    <row r="22" spans="1:10" x14ac:dyDescent="0.3">
      <c r="A22" s="79"/>
      <c r="B22" s="76"/>
      <c r="C22" s="72"/>
      <c r="D22" s="33" t="s">
        <v>185</v>
      </c>
      <c r="E22" s="64">
        <v>48.525439288837205</v>
      </c>
      <c r="F22" s="51">
        <v>48.525439288837205</v>
      </c>
      <c r="G22" s="56"/>
      <c r="H22" s="53"/>
      <c r="I22" s="2" t="s">
        <v>223</v>
      </c>
      <c r="J22" s="11" t="s">
        <v>229</v>
      </c>
    </row>
    <row r="23" spans="1:10" x14ac:dyDescent="0.3">
      <c r="A23" s="79"/>
      <c r="B23" s="76"/>
      <c r="C23" s="72"/>
      <c r="D23" s="33" t="s">
        <v>186</v>
      </c>
      <c r="E23" s="64">
        <v>199.02730721435262</v>
      </c>
      <c r="F23" s="51">
        <v>132.25566685159399</v>
      </c>
      <c r="G23" s="51">
        <v>0.60491833973453302</v>
      </c>
      <c r="H23" s="51">
        <v>66.166722023024107</v>
      </c>
      <c r="I23" s="2" t="s">
        <v>223</v>
      </c>
      <c r="J23" s="11" t="s">
        <v>229</v>
      </c>
    </row>
    <row r="24" spans="1:10" x14ac:dyDescent="0.3">
      <c r="A24" s="79"/>
      <c r="B24" s="76"/>
      <c r="C24" s="72"/>
      <c r="D24" s="45" t="s">
        <v>187</v>
      </c>
      <c r="E24" s="64">
        <v>172.7667092509765</v>
      </c>
      <c r="F24" s="62">
        <v>2.7002763679155102</v>
      </c>
      <c r="G24" s="56"/>
      <c r="H24" s="51">
        <v>170.066432883061</v>
      </c>
      <c r="I24" s="2" t="s">
        <v>223</v>
      </c>
      <c r="J24" s="11" t="s">
        <v>229</v>
      </c>
    </row>
    <row r="25" spans="1:10" x14ac:dyDescent="0.3">
      <c r="A25" s="79"/>
      <c r="B25" s="76"/>
      <c r="C25" s="72"/>
      <c r="D25" s="45" t="s">
        <v>188</v>
      </c>
      <c r="E25" s="64">
        <v>18.29</v>
      </c>
      <c r="F25" s="51">
        <v>18.29</v>
      </c>
      <c r="G25" s="56"/>
      <c r="H25" s="51"/>
      <c r="I25" s="2" t="s">
        <v>223</v>
      </c>
      <c r="J25" s="11" t="s">
        <v>229</v>
      </c>
    </row>
    <row r="26" spans="1:10" x14ac:dyDescent="0.3">
      <c r="A26" s="79"/>
      <c r="B26" s="76"/>
      <c r="C26" s="72"/>
      <c r="D26" s="45" t="s">
        <v>189</v>
      </c>
      <c r="E26" s="64">
        <v>6.0123050975461396</v>
      </c>
      <c r="F26" s="56"/>
      <c r="G26" s="56"/>
      <c r="H26" s="51">
        <v>6.0123050975461396</v>
      </c>
      <c r="I26" s="2" t="s">
        <v>223</v>
      </c>
      <c r="J26" s="11" t="s">
        <v>229</v>
      </c>
    </row>
    <row r="27" spans="1:10" ht="66" x14ac:dyDescent="0.3">
      <c r="A27" s="79"/>
      <c r="B27" s="76"/>
      <c r="C27" s="72" t="s">
        <v>275</v>
      </c>
      <c r="D27" s="33" t="s">
        <v>52</v>
      </c>
      <c r="E27" s="64">
        <v>96.828783919367709</v>
      </c>
      <c r="F27" s="51">
        <v>72.695071138485403</v>
      </c>
      <c r="G27" s="56"/>
      <c r="H27" s="51">
        <v>24.133712780882298</v>
      </c>
      <c r="I27" s="2" t="s">
        <v>223</v>
      </c>
      <c r="J27" s="11" t="s">
        <v>251</v>
      </c>
    </row>
    <row r="28" spans="1:10" ht="33" x14ac:dyDescent="0.3">
      <c r="A28" s="79"/>
      <c r="B28" s="76"/>
      <c r="C28" s="72"/>
      <c r="D28" s="33" t="s">
        <v>56</v>
      </c>
      <c r="E28" s="64">
        <v>26.82</v>
      </c>
      <c r="F28" s="51">
        <v>26.82</v>
      </c>
      <c r="G28" s="56"/>
      <c r="H28" s="51"/>
      <c r="I28" s="2" t="s">
        <v>223</v>
      </c>
      <c r="J28" s="11" t="s">
        <v>234</v>
      </c>
    </row>
    <row r="29" spans="1:10" ht="33" x14ac:dyDescent="0.3">
      <c r="A29" s="79"/>
      <c r="B29" s="76"/>
      <c r="C29" s="72"/>
      <c r="D29" s="33" t="s">
        <v>57</v>
      </c>
      <c r="E29" s="64">
        <v>9.94</v>
      </c>
      <c r="F29" s="51">
        <v>9.94</v>
      </c>
      <c r="G29" s="56"/>
      <c r="H29" s="51"/>
      <c r="I29" s="2" t="s">
        <v>223</v>
      </c>
      <c r="J29" s="11" t="s">
        <v>233</v>
      </c>
    </row>
    <row r="30" spans="1:10" ht="33" x14ac:dyDescent="0.3">
      <c r="A30" s="79"/>
      <c r="B30" s="76"/>
      <c r="C30" s="72"/>
      <c r="D30" s="33" t="s">
        <v>58</v>
      </c>
      <c r="E30" s="64">
        <v>19.749609452747901</v>
      </c>
      <c r="F30" s="51">
        <v>19.749609452747901</v>
      </c>
      <c r="G30" s="56"/>
      <c r="H30" s="51"/>
      <c r="I30" s="2" t="s">
        <v>223</v>
      </c>
      <c r="J30" s="11" t="s">
        <v>235</v>
      </c>
    </row>
    <row r="31" spans="1:10" ht="33" x14ac:dyDescent="0.3">
      <c r="A31" s="79"/>
      <c r="B31" s="76"/>
      <c r="C31" s="72"/>
      <c r="D31" s="33" t="s">
        <v>59</v>
      </c>
      <c r="E31" s="64">
        <v>12.3047397766701</v>
      </c>
      <c r="F31" s="51">
        <v>12.3047397766701</v>
      </c>
      <c r="G31" s="56"/>
      <c r="H31" s="51"/>
      <c r="I31" s="2" t="s">
        <v>223</v>
      </c>
      <c r="J31" s="11" t="s">
        <v>236</v>
      </c>
    </row>
    <row r="32" spans="1:10" ht="33" x14ac:dyDescent="0.3">
      <c r="A32" s="79"/>
      <c r="B32" s="76"/>
      <c r="C32" s="72"/>
      <c r="D32" s="33" t="s">
        <v>60</v>
      </c>
      <c r="E32" s="64">
        <v>29.322528737600003</v>
      </c>
      <c r="F32" s="51">
        <v>29.322528737600003</v>
      </c>
      <c r="G32" s="56"/>
      <c r="H32" s="51"/>
      <c r="I32" s="2" t="s">
        <v>223</v>
      </c>
      <c r="J32" s="11" t="s">
        <v>237</v>
      </c>
    </row>
    <row r="33" spans="1:14" ht="33" x14ac:dyDescent="0.3">
      <c r="A33" s="79"/>
      <c r="B33" s="76"/>
      <c r="C33" s="72"/>
      <c r="D33" s="33" t="s">
        <v>61</v>
      </c>
      <c r="E33" s="64">
        <v>30.712305743578501</v>
      </c>
      <c r="F33" s="51">
        <v>27.365663515482002</v>
      </c>
      <c r="G33" s="60">
        <v>1.14247299566661</v>
      </c>
      <c r="H33" s="51">
        <v>2.2041692324298898</v>
      </c>
      <c r="I33" s="2" t="s">
        <v>223</v>
      </c>
      <c r="J33" s="11" t="s">
        <v>238</v>
      </c>
    </row>
    <row r="34" spans="1:14" ht="49.5" x14ac:dyDescent="0.3">
      <c r="A34" s="79"/>
      <c r="B34" s="76"/>
      <c r="C34" s="72"/>
      <c r="D34" s="33" t="s">
        <v>62</v>
      </c>
      <c r="E34" s="64">
        <v>10.8614929661635</v>
      </c>
      <c r="F34" s="51">
        <v>10.8614929661635</v>
      </c>
      <c r="G34" s="56"/>
      <c r="H34" s="51"/>
      <c r="I34" s="2" t="s">
        <v>223</v>
      </c>
      <c r="J34" s="11" t="s">
        <v>252</v>
      </c>
    </row>
    <row r="35" spans="1:14" ht="33" x14ac:dyDescent="0.3">
      <c r="A35" s="79"/>
      <c r="B35" s="76"/>
      <c r="C35" s="72"/>
      <c r="D35" s="33" t="s">
        <v>63</v>
      </c>
      <c r="E35" s="64">
        <v>44.002300729403601</v>
      </c>
      <c r="F35" s="51">
        <v>44.002300729403601</v>
      </c>
      <c r="G35" s="56"/>
      <c r="H35" s="51"/>
      <c r="I35" s="2" t="s">
        <v>223</v>
      </c>
      <c r="J35" s="11" t="s">
        <v>239</v>
      </c>
    </row>
    <row r="36" spans="1:14" ht="33" x14ac:dyDescent="0.3">
      <c r="A36" s="79"/>
      <c r="B36" s="76"/>
      <c r="C36" s="72"/>
      <c r="D36" s="33" t="s">
        <v>203</v>
      </c>
      <c r="E36" s="64">
        <v>166.52825285540064</v>
      </c>
      <c r="F36" s="51">
        <v>124.68308306209001</v>
      </c>
      <c r="G36" s="51">
        <v>0.27047113358203301</v>
      </c>
      <c r="H36" s="51">
        <v>41.574698659728597</v>
      </c>
      <c r="I36" s="2" t="s">
        <v>223</v>
      </c>
      <c r="J36" s="11" t="s">
        <v>240</v>
      </c>
    </row>
    <row r="37" spans="1:14" ht="33" x14ac:dyDescent="0.3">
      <c r="A37" s="79"/>
      <c r="B37" s="76"/>
      <c r="C37" s="72"/>
      <c r="D37" s="33" t="s">
        <v>65</v>
      </c>
      <c r="E37" s="64">
        <v>225.24798825521884</v>
      </c>
      <c r="F37" s="51">
        <v>222.76488887434601</v>
      </c>
      <c r="G37" s="56"/>
      <c r="H37" s="51">
        <v>2.4830993808728201</v>
      </c>
      <c r="I37" s="2" t="s">
        <v>223</v>
      </c>
      <c r="J37" s="11" t="s">
        <v>241</v>
      </c>
    </row>
    <row r="38" spans="1:14" ht="33" x14ac:dyDescent="0.3">
      <c r="A38" s="79"/>
      <c r="B38" s="76"/>
      <c r="C38" s="72"/>
      <c r="D38" s="33" t="s">
        <v>66</v>
      </c>
      <c r="E38" s="64">
        <v>63.231858812031426</v>
      </c>
      <c r="F38" s="51">
        <v>58.839517177654798</v>
      </c>
      <c r="G38" s="56"/>
      <c r="H38" s="51">
        <v>4.3923416343766304</v>
      </c>
      <c r="I38" s="2" t="s">
        <v>223</v>
      </c>
      <c r="J38" s="11" t="s">
        <v>242</v>
      </c>
    </row>
    <row r="39" spans="1:14" ht="33" x14ac:dyDescent="0.3">
      <c r="A39" s="79"/>
      <c r="B39" s="76"/>
      <c r="C39" s="72"/>
      <c r="D39" s="46" t="s">
        <v>255</v>
      </c>
      <c r="E39" s="64">
        <v>86.044486110438896</v>
      </c>
      <c r="F39" s="51">
        <v>86.044486110438896</v>
      </c>
      <c r="G39" s="56"/>
      <c r="H39" s="51"/>
      <c r="I39" s="2" t="s">
        <v>223</v>
      </c>
      <c r="J39" s="11" t="s">
        <v>243</v>
      </c>
    </row>
    <row r="40" spans="1:14" ht="49.5" x14ac:dyDescent="0.3">
      <c r="A40" s="79"/>
      <c r="B40" s="76"/>
      <c r="C40" s="72"/>
      <c r="D40" s="33" t="s">
        <v>199</v>
      </c>
      <c r="E40" s="64">
        <v>5.6978378770367701</v>
      </c>
      <c r="F40" s="51">
        <v>5.6978378770367701</v>
      </c>
      <c r="G40" s="56"/>
      <c r="H40" s="51"/>
      <c r="I40" s="2" t="s">
        <v>223</v>
      </c>
      <c r="J40" s="11" t="s">
        <v>249</v>
      </c>
    </row>
    <row r="41" spans="1:14" x14ac:dyDescent="0.3">
      <c r="A41" s="79"/>
      <c r="B41" s="76"/>
      <c r="C41" s="72"/>
      <c r="D41" s="33" t="s">
        <v>261</v>
      </c>
      <c r="E41" s="64">
        <v>7.7529628485124196</v>
      </c>
      <c r="F41" s="51">
        <v>7.7529628485124196</v>
      </c>
      <c r="G41" s="56"/>
      <c r="H41" s="51"/>
      <c r="I41" s="2" t="s">
        <v>223</v>
      </c>
      <c r="J41" s="11" t="s">
        <v>248</v>
      </c>
    </row>
    <row r="42" spans="1:14" x14ac:dyDescent="0.3">
      <c r="A42" s="79"/>
      <c r="B42" s="76"/>
      <c r="C42" s="72"/>
      <c r="D42" s="33" t="s">
        <v>196</v>
      </c>
      <c r="E42" s="64">
        <v>37.164365052256002</v>
      </c>
      <c r="F42" s="51">
        <v>37.164365052256002</v>
      </c>
      <c r="G42" s="56"/>
      <c r="H42" s="51"/>
      <c r="I42" s="2" t="s">
        <v>223</v>
      </c>
      <c r="J42" s="11" t="s">
        <v>229</v>
      </c>
    </row>
    <row r="43" spans="1:14" ht="18.75" customHeight="1" x14ac:dyDescent="0.3">
      <c r="A43" s="79"/>
      <c r="B43" s="76"/>
      <c r="C43" s="72"/>
      <c r="D43" s="33" t="s">
        <v>256</v>
      </c>
      <c r="E43" s="64">
        <v>28.673389692214901</v>
      </c>
      <c r="F43" s="56"/>
      <c r="G43" s="51">
        <v>28.673389692214901</v>
      </c>
      <c r="H43" s="51"/>
      <c r="I43" s="2" t="s">
        <v>223</v>
      </c>
      <c r="J43" s="11" t="s">
        <v>229</v>
      </c>
    </row>
    <row r="44" spans="1:14" ht="33" x14ac:dyDescent="0.3">
      <c r="A44" s="78" t="s">
        <v>106</v>
      </c>
      <c r="B44" s="39" t="s">
        <v>202</v>
      </c>
      <c r="C44" s="36" t="s">
        <v>99</v>
      </c>
      <c r="D44" s="33" t="s">
        <v>99</v>
      </c>
      <c r="E44" s="64">
        <v>92102.257596873795</v>
      </c>
      <c r="F44" s="58"/>
      <c r="G44" s="56"/>
      <c r="H44" s="51">
        <v>92102.257596873795</v>
      </c>
      <c r="I44" s="2" t="s">
        <v>223</v>
      </c>
      <c r="J44" s="11" t="s">
        <v>247</v>
      </c>
    </row>
    <row r="45" spans="1:14" x14ac:dyDescent="0.3">
      <c r="A45" s="79"/>
      <c r="B45" s="75" t="s">
        <v>190</v>
      </c>
      <c r="C45" s="72" t="s">
        <v>267</v>
      </c>
      <c r="D45" s="47" t="s">
        <v>258</v>
      </c>
      <c r="E45" s="64">
        <v>24163.42489913206</v>
      </c>
      <c r="F45" s="51">
        <v>1436.6931273571299</v>
      </c>
      <c r="G45" s="51">
        <v>247.41632957973201</v>
      </c>
      <c r="H45" s="51">
        <v>22479.315442195199</v>
      </c>
      <c r="I45" s="2" t="s">
        <v>221</v>
      </c>
      <c r="J45" s="43" t="s">
        <v>268</v>
      </c>
      <c r="K45" s="59"/>
      <c r="L45" s="59"/>
      <c r="M45" s="59"/>
      <c r="N45" s="59"/>
    </row>
    <row r="46" spans="1:14" x14ac:dyDescent="0.3">
      <c r="A46" s="79"/>
      <c r="B46" s="76"/>
      <c r="C46" s="72"/>
      <c r="D46" s="34" t="s">
        <v>217</v>
      </c>
      <c r="E46" s="64">
        <v>423.96945346292807</v>
      </c>
      <c r="F46" s="51">
        <v>117.435230113708</v>
      </c>
      <c r="G46" s="51">
        <v>0.44844279619605898</v>
      </c>
      <c r="H46" s="51">
        <v>306.08578055302399</v>
      </c>
      <c r="I46" s="2" t="s">
        <v>221</v>
      </c>
      <c r="J46" s="43" t="s">
        <v>221</v>
      </c>
    </row>
    <row r="47" spans="1:14" x14ac:dyDescent="0.3">
      <c r="A47" s="79"/>
      <c r="B47" s="76"/>
      <c r="C47" s="72"/>
      <c r="D47" s="34" t="s">
        <v>257</v>
      </c>
      <c r="E47" s="64">
        <v>356.08164677210135</v>
      </c>
      <c r="F47" s="51">
        <v>339.13219736636398</v>
      </c>
      <c r="G47" s="51">
        <v>6.6905210517738603</v>
      </c>
      <c r="H47" s="51">
        <v>10.258928353963499</v>
      </c>
      <c r="I47" s="2" t="s">
        <v>221</v>
      </c>
      <c r="J47" s="43"/>
    </row>
    <row r="48" spans="1:14" ht="33.75" customHeight="1" x14ac:dyDescent="0.3">
      <c r="A48" s="79"/>
      <c r="B48" s="76"/>
      <c r="C48" s="72"/>
      <c r="D48" s="34" t="s">
        <v>273</v>
      </c>
      <c r="E48" s="64">
        <v>618.33693992648932</v>
      </c>
      <c r="F48" s="51">
        <v>349.67026682141397</v>
      </c>
      <c r="G48" s="51">
        <v>0.25065228591528199</v>
      </c>
      <c r="H48" s="51">
        <v>268.41602081916</v>
      </c>
      <c r="I48" s="2" t="s">
        <v>221</v>
      </c>
      <c r="J48" s="43" t="s">
        <v>221</v>
      </c>
    </row>
    <row r="49" spans="1:10" ht="33.75" customHeight="1" x14ac:dyDescent="0.3">
      <c r="A49" s="79"/>
      <c r="B49" s="76"/>
      <c r="C49" s="72"/>
      <c r="D49" s="34" t="s">
        <v>262</v>
      </c>
      <c r="E49" s="64">
        <v>520.03703931938696</v>
      </c>
      <c r="F49" s="51">
        <v>447.44730465985299</v>
      </c>
      <c r="G49" s="51">
        <v>29.5810006438671</v>
      </c>
      <c r="H49" s="51">
        <v>43.008734015666803</v>
      </c>
      <c r="I49" s="2" t="s">
        <v>223</v>
      </c>
      <c r="J49" s="43"/>
    </row>
    <row r="50" spans="1:10" x14ac:dyDescent="0.3">
      <c r="A50" s="79"/>
      <c r="B50" s="76"/>
      <c r="C50" s="72"/>
      <c r="D50" s="34" t="s">
        <v>260</v>
      </c>
      <c r="E50" s="64">
        <v>100.966363967292</v>
      </c>
      <c r="F50" s="56"/>
      <c r="G50" s="56"/>
      <c r="H50" s="51">
        <v>100.966363967292</v>
      </c>
      <c r="I50" s="2" t="s">
        <v>221</v>
      </c>
      <c r="J50" s="43" t="s">
        <v>221</v>
      </c>
    </row>
    <row r="51" spans="1:10" x14ac:dyDescent="0.3">
      <c r="A51" s="79"/>
      <c r="B51" s="76"/>
      <c r="C51" s="72"/>
      <c r="D51" s="34" t="s">
        <v>259</v>
      </c>
      <c r="E51" s="64">
        <v>23.395037604476521</v>
      </c>
      <c r="F51" s="60">
        <v>3.7436545394382299</v>
      </c>
      <c r="G51" s="51">
        <v>3.27698518085379</v>
      </c>
      <c r="H51" s="51">
        <v>16.3743978841845</v>
      </c>
      <c r="I51" s="2" t="s">
        <v>221</v>
      </c>
      <c r="J51" s="43"/>
    </row>
    <row r="52" spans="1:10" x14ac:dyDescent="0.3">
      <c r="A52" s="79"/>
      <c r="B52" s="76"/>
      <c r="C52" s="72"/>
      <c r="D52" s="34" t="s">
        <v>200</v>
      </c>
      <c r="E52" s="64">
        <v>0</v>
      </c>
      <c r="F52" s="56"/>
      <c r="G52" s="56"/>
      <c r="H52" s="52"/>
      <c r="I52" s="2" t="s">
        <v>221</v>
      </c>
      <c r="J52" s="43" t="s">
        <v>221</v>
      </c>
    </row>
    <row r="53" spans="1:10" x14ac:dyDescent="0.3">
      <c r="A53" s="79"/>
      <c r="B53" s="76"/>
      <c r="C53" s="72"/>
      <c r="D53" s="34" t="s">
        <v>201</v>
      </c>
      <c r="E53" s="64">
        <v>0</v>
      </c>
      <c r="F53" s="56"/>
      <c r="G53" s="56"/>
      <c r="H53" s="52"/>
      <c r="I53" s="2" t="s">
        <v>221</v>
      </c>
      <c r="J53" s="43" t="s">
        <v>221</v>
      </c>
    </row>
    <row r="54" spans="1:10" x14ac:dyDescent="0.3">
      <c r="A54" s="79"/>
      <c r="B54" s="76"/>
      <c r="C54" s="67" t="s">
        <v>269</v>
      </c>
      <c r="D54" s="34" t="s">
        <v>216</v>
      </c>
      <c r="E54" s="64">
        <v>216.64821252819272</v>
      </c>
      <c r="F54" s="62">
        <v>129.18965453745901</v>
      </c>
      <c r="G54" s="60">
        <v>34.1993908917906</v>
      </c>
      <c r="H54" s="51">
        <v>53.259167098943102</v>
      </c>
      <c r="I54" s="2" t="s">
        <v>221</v>
      </c>
      <c r="J54" s="43" t="s">
        <v>221</v>
      </c>
    </row>
    <row r="55" spans="1:10" x14ac:dyDescent="0.3">
      <c r="A55" s="79"/>
      <c r="B55" s="76"/>
      <c r="C55" s="68"/>
      <c r="D55" s="33" t="s">
        <v>270</v>
      </c>
      <c r="E55" s="64">
        <v>51.695915169159264</v>
      </c>
      <c r="F55" s="51">
        <v>2.2968814421342501</v>
      </c>
      <c r="G55" s="60">
        <v>9.1431910452698197</v>
      </c>
      <c r="H55" s="51">
        <v>40.255842681755198</v>
      </c>
      <c r="I55" s="2" t="s">
        <v>221</v>
      </c>
      <c r="J55" s="43"/>
    </row>
    <row r="56" spans="1:10" x14ac:dyDescent="0.3">
      <c r="A56" s="80"/>
      <c r="B56" s="77"/>
      <c r="C56" s="69"/>
      <c r="D56" s="33" t="s">
        <v>263</v>
      </c>
      <c r="E56" s="64">
        <v>62.929720633880876</v>
      </c>
      <c r="F56" s="62">
        <v>53.2537143723589</v>
      </c>
      <c r="G56" s="60">
        <v>0.26095983843463599</v>
      </c>
      <c r="H56" s="51">
        <v>9.4150464230873396</v>
      </c>
      <c r="I56" s="2" t="s">
        <v>221</v>
      </c>
      <c r="J56" s="43" t="s">
        <v>221</v>
      </c>
    </row>
    <row r="57" spans="1:10" ht="36" customHeight="1" x14ac:dyDescent="0.3">
      <c r="A57" s="71" t="s">
        <v>69</v>
      </c>
      <c r="B57" s="74" t="s">
        <v>191</v>
      </c>
      <c r="C57" s="66" t="s">
        <v>278</v>
      </c>
      <c r="D57" s="33" t="s">
        <v>278</v>
      </c>
      <c r="E57" s="64">
        <v>1014.2923316221289</v>
      </c>
      <c r="F57" s="62">
        <v>901.55</v>
      </c>
      <c r="G57" s="62">
        <v>48.942745027527899</v>
      </c>
      <c r="H57" s="62">
        <v>63.799586594601102</v>
      </c>
      <c r="I57" s="2" t="s">
        <v>221</v>
      </c>
      <c r="J57" s="43" t="s">
        <v>221</v>
      </c>
    </row>
    <row r="58" spans="1:10" ht="66.75" customHeight="1" x14ac:dyDescent="0.3">
      <c r="A58" s="71"/>
      <c r="B58" s="74"/>
      <c r="C58" s="70" t="s">
        <v>197</v>
      </c>
      <c r="D58" s="48" t="s">
        <v>195</v>
      </c>
      <c r="E58" s="64">
        <v>1180.5906305290598</v>
      </c>
      <c r="F58" s="63">
        <v>28.21</v>
      </c>
      <c r="G58" s="51">
        <v>87.864599999999996</v>
      </c>
      <c r="H58" s="51">
        <v>1064.5160305290599</v>
      </c>
      <c r="I58" s="2" t="s">
        <v>221</v>
      </c>
      <c r="J58" s="43" t="s">
        <v>221</v>
      </c>
    </row>
    <row r="59" spans="1:10" ht="49.5" x14ac:dyDescent="0.3">
      <c r="A59" s="71"/>
      <c r="B59" s="74"/>
      <c r="C59" s="70"/>
      <c r="D59" s="48" t="s">
        <v>218</v>
      </c>
      <c r="E59" s="64">
        <v>526.30378801950678</v>
      </c>
      <c r="F59" s="63">
        <v>2.9589566573307402</v>
      </c>
      <c r="G59" s="61">
        <v>0.18367</v>
      </c>
      <c r="H59" s="51">
        <v>523.16116136217602</v>
      </c>
      <c r="I59" s="2" t="s">
        <v>224</v>
      </c>
      <c r="J59" s="11" t="s">
        <v>231</v>
      </c>
    </row>
    <row r="60" spans="1:10" x14ac:dyDescent="0.3">
      <c r="A60" s="71"/>
      <c r="B60" s="74"/>
      <c r="C60" s="70"/>
      <c r="D60" s="48" t="s">
        <v>206</v>
      </c>
      <c r="E60" s="64">
        <v>57.984881340354697</v>
      </c>
      <c r="F60" s="62">
        <v>57.984881340354697</v>
      </c>
      <c r="G60" s="56"/>
      <c r="H60" s="51"/>
      <c r="I60" s="2" t="s">
        <v>221</v>
      </c>
      <c r="J60" s="11" t="s">
        <v>229</v>
      </c>
    </row>
    <row r="61" spans="1:10" x14ac:dyDescent="0.3">
      <c r="A61" s="71"/>
      <c r="B61" s="37" t="s">
        <v>220</v>
      </c>
      <c r="C61" s="36" t="s">
        <v>274</v>
      </c>
      <c r="D61" s="48" t="s">
        <v>219</v>
      </c>
      <c r="E61" s="64">
        <v>143.65284258628492</v>
      </c>
      <c r="F61" s="62">
        <v>134.37909804346901</v>
      </c>
      <c r="G61" s="51">
        <v>0.72815557951775101</v>
      </c>
      <c r="H61" s="51">
        <v>8.5455889632981403</v>
      </c>
      <c r="I61" s="2" t="s">
        <v>221</v>
      </c>
      <c r="J61" s="11" t="s">
        <v>229</v>
      </c>
    </row>
    <row r="62" spans="1:10" ht="33" x14ac:dyDescent="0.3">
      <c r="A62" s="71"/>
      <c r="B62" s="38" t="s">
        <v>205</v>
      </c>
      <c r="C62" s="36" t="s">
        <v>204</v>
      </c>
      <c r="D62" s="48" t="s">
        <v>204</v>
      </c>
      <c r="E62" s="64">
        <v>288.72491548427399</v>
      </c>
      <c r="F62" s="1"/>
      <c r="G62" s="1"/>
      <c r="H62" s="51">
        <v>288.72491548427399</v>
      </c>
      <c r="I62" s="2" t="s">
        <v>221</v>
      </c>
      <c r="J62" s="11" t="s">
        <v>250</v>
      </c>
    </row>
    <row r="63" spans="1:10" x14ac:dyDescent="0.3">
      <c r="A63" s="35"/>
    </row>
    <row r="64" spans="1:10" x14ac:dyDescent="0.3">
      <c r="A64" s="35"/>
    </row>
  </sheetData>
  <mergeCells count="26">
    <mergeCell ref="B2:J2"/>
    <mergeCell ref="F4:H4"/>
    <mergeCell ref="J4:J5"/>
    <mergeCell ref="C27:C43"/>
    <mergeCell ref="C12:C18"/>
    <mergeCell ref="C19:C26"/>
    <mergeCell ref="C8:C9"/>
    <mergeCell ref="I4:I5"/>
    <mergeCell ref="C4:C5"/>
    <mergeCell ref="D4:D5"/>
    <mergeCell ref="E4:E5"/>
    <mergeCell ref="C54:C56"/>
    <mergeCell ref="C58:C60"/>
    <mergeCell ref="A57:A62"/>
    <mergeCell ref="C45:C53"/>
    <mergeCell ref="B4:B5"/>
    <mergeCell ref="B57:B60"/>
    <mergeCell ref="B45:B56"/>
    <mergeCell ref="A44:A56"/>
    <mergeCell ref="B12:B43"/>
    <mergeCell ref="B6:B7"/>
    <mergeCell ref="B8:B9"/>
    <mergeCell ref="B10:B11"/>
    <mergeCell ref="A6:A9"/>
    <mergeCell ref="A10:A43"/>
    <mergeCell ref="A4:A5"/>
  </mergeCells>
  <conditionalFormatting sqref="F6:H62">
    <cfRule type="cellIs" dxfId="0" priority="1"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105"/>
  <sheetViews>
    <sheetView topLeftCell="D16" zoomScale="98" zoomScaleNormal="98" workbookViewId="0">
      <selection activeCell="E18" sqref="E18:E32"/>
    </sheetView>
  </sheetViews>
  <sheetFormatPr baseColWidth="10" defaultColWidth="11.625" defaultRowHeight="16.5" x14ac:dyDescent="0.3"/>
  <cols>
    <col min="2" max="2" width="50.875" style="8" bestFit="1" customWidth="1"/>
    <col min="3" max="3" width="48.875" bestFit="1" customWidth="1"/>
    <col min="4" max="4" width="80.875" bestFit="1" customWidth="1"/>
    <col min="5" max="5" width="86.625" bestFit="1" customWidth="1"/>
    <col min="6" max="6" width="14.125" style="3" customWidth="1"/>
    <col min="7" max="7" width="14.375" style="3" customWidth="1"/>
    <col min="8" max="8" width="30.75" style="13" customWidth="1"/>
    <col min="9" max="9" width="30.75" style="13" hidden="1" customWidth="1"/>
    <col min="10" max="10" width="26.875" style="13" hidden="1" customWidth="1"/>
    <col min="11" max="11" width="35.125" style="19" customWidth="1"/>
    <col min="12" max="12" width="15.375" customWidth="1"/>
    <col min="13" max="13" width="19.125" customWidth="1"/>
    <col min="14" max="14" width="21.375" customWidth="1"/>
    <col min="15" max="15" width="22.125" customWidth="1"/>
  </cols>
  <sheetData>
    <row r="2" spans="2:16" x14ac:dyDescent="0.3">
      <c r="B2" s="8" t="s">
        <v>101</v>
      </c>
      <c r="F2" s="92"/>
      <c r="G2" s="92"/>
      <c r="H2" s="92"/>
      <c r="I2" s="16"/>
      <c r="J2" s="16"/>
    </row>
    <row r="3" spans="2:16" ht="33" x14ac:dyDescent="0.3">
      <c r="B3" s="9" t="s">
        <v>72</v>
      </c>
      <c r="C3" s="2" t="s">
        <v>73</v>
      </c>
      <c r="D3" s="2" t="s">
        <v>74</v>
      </c>
      <c r="E3" s="6" t="s">
        <v>84</v>
      </c>
      <c r="F3" s="9" t="s">
        <v>86</v>
      </c>
      <c r="G3" s="9" t="s">
        <v>87</v>
      </c>
      <c r="H3" s="14" t="s">
        <v>88</v>
      </c>
      <c r="I3" s="14" t="s">
        <v>168</v>
      </c>
      <c r="J3" s="14" t="s">
        <v>167</v>
      </c>
      <c r="K3" s="20" t="s">
        <v>150</v>
      </c>
      <c r="L3" s="14" t="s">
        <v>151</v>
      </c>
      <c r="M3" s="14" t="s">
        <v>152</v>
      </c>
      <c r="N3" s="14" t="s">
        <v>171</v>
      </c>
      <c r="O3" s="14" t="s">
        <v>167</v>
      </c>
    </row>
    <row r="4" spans="2:16" x14ac:dyDescent="0.3">
      <c r="B4" s="98" t="s">
        <v>176</v>
      </c>
      <c r="C4" s="93" t="s">
        <v>180</v>
      </c>
      <c r="D4" s="1" t="s">
        <v>75</v>
      </c>
      <c r="E4" s="1" t="s">
        <v>75</v>
      </c>
      <c r="F4" s="2" t="s">
        <v>53</v>
      </c>
      <c r="G4" s="2" t="s">
        <v>53</v>
      </c>
      <c r="H4" s="14" t="s">
        <v>53</v>
      </c>
      <c r="I4" s="14"/>
      <c r="J4" s="14"/>
      <c r="K4" s="24">
        <v>37395.197500000002</v>
      </c>
      <c r="L4" s="4">
        <v>46517.287499999999</v>
      </c>
      <c r="M4" s="4">
        <v>46718.901375799003</v>
      </c>
      <c r="N4" s="4">
        <v>46718.901375799003</v>
      </c>
      <c r="O4" s="1"/>
    </row>
    <row r="5" spans="2:16" x14ac:dyDescent="0.3">
      <c r="B5" s="99"/>
      <c r="C5" s="93"/>
      <c r="D5" s="1" t="s">
        <v>76</v>
      </c>
      <c r="E5" s="1" t="s">
        <v>76</v>
      </c>
      <c r="F5" s="2" t="s">
        <v>53</v>
      </c>
      <c r="G5" s="2" t="s">
        <v>53</v>
      </c>
      <c r="H5" s="14" t="s">
        <v>53</v>
      </c>
      <c r="I5" s="14"/>
      <c r="J5" s="14"/>
      <c r="K5" s="1">
        <v>14127.5</v>
      </c>
      <c r="L5" s="1">
        <v>14127.5</v>
      </c>
      <c r="M5" s="23">
        <f>131540291.343364/10000</f>
        <v>13154.029134336401</v>
      </c>
      <c r="N5" s="23">
        <f>131540291.343364/10000</f>
        <v>13154.029134336401</v>
      </c>
      <c r="O5" s="1"/>
    </row>
    <row r="6" spans="2:16" x14ac:dyDescent="0.3">
      <c r="B6" s="99"/>
      <c r="C6" s="93"/>
      <c r="D6" s="104" t="s">
        <v>79</v>
      </c>
      <c r="E6" s="1" t="s">
        <v>89</v>
      </c>
      <c r="F6" s="2"/>
      <c r="G6" s="2" t="s">
        <v>54</v>
      </c>
      <c r="H6" s="14" t="s">
        <v>54</v>
      </c>
      <c r="I6" s="14"/>
      <c r="J6" s="14"/>
      <c r="K6" s="20">
        <v>0</v>
      </c>
      <c r="L6" s="4">
        <v>101.065</v>
      </c>
      <c r="M6" s="4">
        <v>10.1065</v>
      </c>
      <c r="N6" s="18" t="s">
        <v>172</v>
      </c>
      <c r="O6" s="1"/>
    </row>
    <row r="7" spans="2:16" x14ac:dyDescent="0.3">
      <c r="B7" s="99"/>
      <c r="C7" s="93"/>
      <c r="D7" s="104"/>
      <c r="E7" s="1" t="s">
        <v>90</v>
      </c>
      <c r="F7" s="2"/>
      <c r="G7" s="2"/>
      <c r="H7" s="14" t="s">
        <v>54</v>
      </c>
      <c r="I7" s="14"/>
      <c r="J7" s="14"/>
      <c r="K7" s="20">
        <v>0</v>
      </c>
      <c r="L7" s="4">
        <v>0</v>
      </c>
      <c r="M7" s="4">
        <v>0.31339809059999996</v>
      </c>
      <c r="N7" s="18" t="s">
        <v>172</v>
      </c>
      <c r="O7" s="1"/>
    </row>
    <row r="8" spans="2:16" x14ac:dyDescent="0.3">
      <c r="B8" s="99"/>
      <c r="C8" s="93"/>
      <c r="D8" s="104"/>
      <c r="E8" s="1" t="s">
        <v>91</v>
      </c>
      <c r="F8" s="2"/>
      <c r="G8" s="2" t="s">
        <v>54</v>
      </c>
      <c r="H8" s="14" t="s">
        <v>54</v>
      </c>
      <c r="I8" s="14"/>
      <c r="J8" s="14"/>
      <c r="K8" s="20">
        <v>0</v>
      </c>
      <c r="L8" s="1">
        <v>31.416699999999999</v>
      </c>
      <c r="M8" s="1">
        <v>31.416745995199999</v>
      </c>
      <c r="N8" s="18" t="s">
        <v>172</v>
      </c>
      <c r="O8" s="1"/>
    </row>
    <row r="9" spans="2:16" x14ac:dyDescent="0.3">
      <c r="B9" s="99"/>
      <c r="C9" s="95" t="s">
        <v>177</v>
      </c>
      <c r="D9" s="4" t="s">
        <v>77</v>
      </c>
      <c r="E9" s="4" t="s">
        <v>77</v>
      </c>
      <c r="F9" s="2"/>
      <c r="G9" s="2" t="s">
        <v>53</v>
      </c>
      <c r="H9" s="14" t="s">
        <v>53</v>
      </c>
      <c r="I9" s="14"/>
      <c r="J9" s="14"/>
      <c r="K9" s="20">
        <v>0</v>
      </c>
      <c r="L9" s="21">
        <v>27672.0724871731</v>
      </c>
      <c r="M9" s="1">
        <v>19975.4830120441</v>
      </c>
      <c r="N9" s="1">
        <v>20019.7</v>
      </c>
      <c r="O9" s="1"/>
    </row>
    <row r="10" spans="2:16" x14ac:dyDescent="0.3">
      <c r="B10" s="99"/>
      <c r="C10" s="97"/>
      <c r="D10" s="4" t="s">
        <v>78</v>
      </c>
      <c r="E10" s="4" t="s">
        <v>78</v>
      </c>
      <c r="F10" s="2"/>
      <c r="G10" s="2" t="s">
        <v>53</v>
      </c>
      <c r="H10" s="14" t="s">
        <v>53</v>
      </c>
      <c r="I10" s="14"/>
      <c r="J10" s="14"/>
      <c r="K10" s="20">
        <v>0</v>
      </c>
      <c r="L10" s="17">
        <f>13962768.791017/10000</f>
        <v>1396.2768791016999</v>
      </c>
      <c r="M10" s="17">
        <f>13962768.791017/10000</f>
        <v>1396.2768791016999</v>
      </c>
      <c r="N10" s="17">
        <f>13962768.791017/10000</f>
        <v>1396.2768791016999</v>
      </c>
      <c r="O10" s="1"/>
    </row>
    <row r="11" spans="2:16" ht="198" x14ac:dyDescent="0.3">
      <c r="B11" s="99"/>
      <c r="C11" s="95" t="s">
        <v>181</v>
      </c>
      <c r="D11" s="93" t="s">
        <v>80</v>
      </c>
      <c r="E11" s="1" t="s">
        <v>173</v>
      </c>
      <c r="F11" s="2" t="s">
        <v>54</v>
      </c>
      <c r="G11" s="2"/>
      <c r="H11" s="12" t="s">
        <v>157</v>
      </c>
      <c r="I11" s="12"/>
      <c r="J11" s="12"/>
      <c r="K11" s="20">
        <v>162.86000000000001</v>
      </c>
      <c r="L11" s="1">
        <v>209.50729999999999</v>
      </c>
      <c r="M11" s="1"/>
      <c r="N11" s="17">
        <f>1628656.514743/10000</f>
        <v>162.86565147429999</v>
      </c>
      <c r="O11" s="1"/>
      <c r="P11" t="s">
        <v>175</v>
      </c>
    </row>
    <row r="12" spans="2:16" x14ac:dyDescent="0.3">
      <c r="B12" s="99"/>
      <c r="C12" s="96"/>
      <c r="D12" s="93"/>
      <c r="E12" s="1" t="s">
        <v>49</v>
      </c>
      <c r="F12" s="2" t="s">
        <v>54</v>
      </c>
      <c r="G12" s="2" t="s">
        <v>54</v>
      </c>
      <c r="H12" s="12"/>
      <c r="I12" s="12"/>
      <c r="J12" s="12"/>
      <c r="K12" s="20">
        <v>23.15</v>
      </c>
      <c r="L12" s="1">
        <v>22.186599999999999</v>
      </c>
      <c r="M12" s="1">
        <v>20.578261262000002</v>
      </c>
      <c r="N12" s="17">
        <f>220300.718218/10000</f>
        <v>22.0300718218</v>
      </c>
      <c r="O12" s="1"/>
    </row>
    <row r="13" spans="2:16" ht="115.5" x14ac:dyDescent="0.3">
      <c r="B13" s="99"/>
      <c r="C13" s="96"/>
      <c r="D13" s="93"/>
      <c r="E13" s="1" t="s">
        <v>50</v>
      </c>
      <c r="F13" s="2" t="s">
        <v>54</v>
      </c>
      <c r="G13" s="2" t="s">
        <v>54</v>
      </c>
      <c r="H13" s="12" t="s">
        <v>155</v>
      </c>
      <c r="I13" s="12"/>
      <c r="J13" s="12"/>
      <c r="K13" s="20">
        <v>66.989999999999995</v>
      </c>
      <c r="L13" s="1">
        <v>779.97910000000002</v>
      </c>
      <c r="M13" s="1">
        <v>0</v>
      </c>
      <c r="N13" s="17">
        <f>669923.627173/10000</f>
        <v>66.992362717299997</v>
      </c>
      <c r="O13" s="1"/>
      <c r="P13" t="s">
        <v>174</v>
      </c>
    </row>
    <row r="14" spans="2:16" ht="49.5" x14ac:dyDescent="0.3">
      <c r="B14" s="99"/>
      <c r="C14" s="96"/>
      <c r="D14" s="93"/>
      <c r="E14" s="1" t="s">
        <v>51</v>
      </c>
      <c r="F14" s="2" t="s">
        <v>54</v>
      </c>
      <c r="G14" s="2" t="s">
        <v>54</v>
      </c>
      <c r="H14" s="12" t="s">
        <v>153</v>
      </c>
      <c r="I14" s="12"/>
      <c r="J14" s="12"/>
      <c r="K14" s="20">
        <v>632.54999999999995</v>
      </c>
      <c r="L14" s="1">
        <v>0</v>
      </c>
      <c r="M14" s="1">
        <v>0</v>
      </c>
      <c r="N14" s="17">
        <f>6325530.430805/10000</f>
        <v>632.55304308049995</v>
      </c>
      <c r="O14" s="1"/>
    </row>
    <row r="15" spans="2:16" ht="214.5" x14ac:dyDescent="0.3">
      <c r="B15" s="99"/>
      <c r="C15" s="96"/>
      <c r="D15" s="93"/>
      <c r="E15" s="1" t="s">
        <v>92</v>
      </c>
      <c r="F15" s="2"/>
      <c r="G15" s="2" t="s">
        <v>54</v>
      </c>
      <c r="H15" s="12" t="s">
        <v>156</v>
      </c>
      <c r="I15" s="12"/>
      <c r="J15" s="12"/>
      <c r="K15" s="20">
        <v>626.96</v>
      </c>
      <c r="L15" s="1">
        <v>674.63319999999999</v>
      </c>
      <c r="M15" s="1">
        <v>0</v>
      </c>
      <c r="N15" s="17">
        <f>6269639.897946/10000</f>
        <v>626.96398979460002</v>
      </c>
      <c r="O15" s="1"/>
    </row>
    <row r="16" spans="2:16" x14ac:dyDescent="0.3">
      <c r="B16" s="99"/>
      <c r="C16" s="96"/>
      <c r="D16" s="93"/>
      <c r="E16" s="1" t="s">
        <v>93</v>
      </c>
      <c r="F16" s="2"/>
      <c r="G16" s="2" t="s">
        <v>54</v>
      </c>
      <c r="H16" s="12"/>
      <c r="I16" s="12"/>
      <c r="J16" s="12"/>
      <c r="K16" s="25" t="s">
        <v>169</v>
      </c>
      <c r="L16" s="21">
        <v>0</v>
      </c>
      <c r="M16" s="21">
        <v>0</v>
      </c>
      <c r="N16" s="26" t="s">
        <v>172</v>
      </c>
      <c r="O16" s="1"/>
    </row>
    <row r="17" spans="2:15" x14ac:dyDescent="0.3">
      <c r="B17" s="99"/>
      <c r="C17" s="96"/>
      <c r="D17" s="93"/>
      <c r="E17" s="31" t="s">
        <v>3</v>
      </c>
      <c r="F17" s="2"/>
      <c r="G17" s="2" t="s">
        <v>54</v>
      </c>
      <c r="H17" s="12"/>
      <c r="I17" s="12"/>
      <c r="J17" s="12"/>
      <c r="K17" s="25">
        <v>11.16</v>
      </c>
      <c r="L17" s="21">
        <v>48.171199999999999</v>
      </c>
      <c r="M17" s="21">
        <v>54.521279056499999</v>
      </c>
      <c r="N17" s="26" t="s">
        <v>172</v>
      </c>
      <c r="O17" s="1"/>
    </row>
    <row r="18" spans="2:15" ht="82.5" x14ac:dyDescent="0.3">
      <c r="B18" s="99"/>
      <c r="C18" s="96"/>
      <c r="D18" s="101" t="s">
        <v>81</v>
      </c>
      <c r="E18" s="1" t="s">
        <v>52</v>
      </c>
      <c r="F18" s="2" t="s">
        <v>54</v>
      </c>
      <c r="G18" s="2" t="s">
        <v>54</v>
      </c>
      <c r="H18" s="22" t="s">
        <v>154</v>
      </c>
      <c r="I18" s="12"/>
      <c r="J18" s="12"/>
      <c r="K18" s="24">
        <v>121.01</v>
      </c>
      <c r="L18" s="4">
        <v>168.72800000000001</v>
      </c>
      <c r="M18" s="4">
        <v>79.913183636300005</v>
      </c>
      <c r="N18" s="23">
        <f>799235.982039/10000</f>
        <v>79.923598203899999</v>
      </c>
      <c r="O18" s="1"/>
    </row>
    <row r="19" spans="2:15" x14ac:dyDescent="0.3">
      <c r="B19" s="99"/>
      <c r="C19" s="96"/>
      <c r="D19" s="102"/>
      <c r="E19" s="1" t="s">
        <v>56</v>
      </c>
      <c r="F19" s="2" t="s">
        <v>54</v>
      </c>
      <c r="G19" s="2" t="s">
        <v>54</v>
      </c>
      <c r="H19" s="14" t="s">
        <v>54</v>
      </c>
      <c r="I19" s="12"/>
      <c r="J19" s="12"/>
      <c r="K19" s="20">
        <v>28.8</v>
      </c>
      <c r="L19" s="1">
        <v>29.4557</v>
      </c>
      <c r="M19" s="1">
        <v>21.624443281000001</v>
      </c>
      <c r="N19" s="17">
        <f>216244.43281/10000</f>
        <v>21.624443281000001</v>
      </c>
      <c r="O19" s="1"/>
    </row>
    <row r="20" spans="2:15" x14ac:dyDescent="0.3">
      <c r="B20" s="99"/>
      <c r="C20" s="96"/>
      <c r="D20" s="102"/>
      <c r="E20" s="1" t="s">
        <v>57</v>
      </c>
      <c r="F20" s="2" t="s">
        <v>54</v>
      </c>
      <c r="G20" s="2" t="s">
        <v>54</v>
      </c>
      <c r="H20" s="14" t="s">
        <v>54</v>
      </c>
      <c r="I20" s="12"/>
      <c r="J20" s="12"/>
      <c r="K20" s="20">
        <v>5.72</v>
      </c>
      <c r="L20" s="1">
        <v>7.9751000000000003</v>
      </c>
      <c r="M20" s="1">
        <v>8.6081982562999997</v>
      </c>
      <c r="N20" s="17">
        <f>79751.761842/10000</f>
        <v>7.9751761842000004</v>
      </c>
      <c r="O20" s="1"/>
    </row>
    <row r="21" spans="2:15" x14ac:dyDescent="0.3">
      <c r="B21" s="99"/>
      <c r="C21" s="96"/>
      <c r="D21" s="102"/>
      <c r="E21" s="1" t="s">
        <v>58</v>
      </c>
      <c r="F21" s="2" t="s">
        <v>54</v>
      </c>
      <c r="G21" s="2" t="s">
        <v>54</v>
      </c>
      <c r="H21" s="14" t="s">
        <v>54</v>
      </c>
      <c r="I21" s="12"/>
      <c r="J21" s="12"/>
      <c r="K21" s="20">
        <v>18.829999999999998</v>
      </c>
      <c r="L21" s="1">
        <v>24.470800000000001</v>
      </c>
      <c r="M21" s="1">
        <v>19.843243759</v>
      </c>
      <c r="N21" s="17">
        <f>188387.607298/10000</f>
        <v>18.838760729799997</v>
      </c>
      <c r="O21" s="1"/>
    </row>
    <row r="22" spans="2:15" x14ac:dyDescent="0.3">
      <c r="B22" s="99"/>
      <c r="C22" s="96"/>
      <c r="D22" s="102"/>
      <c r="E22" s="1" t="s">
        <v>59</v>
      </c>
      <c r="F22" s="2" t="s">
        <v>54</v>
      </c>
      <c r="G22" s="2" t="s">
        <v>54</v>
      </c>
      <c r="H22" s="14" t="s">
        <v>54</v>
      </c>
      <c r="I22" s="12"/>
      <c r="J22" s="12"/>
      <c r="K22" s="20">
        <v>11.66</v>
      </c>
      <c r="L22" s="1">
        <v>11.669600000000001</v>
      </c>
      <c r="M22" s="1">
        <v>11.6697064286</v>
      </c>
      <c r="N22" s="17">
        <f>116697.081383/10000</f>
        <v>11.669708138299999</v>
      </c>
      <c r="O22" s="1"/>
    </row>
    <row r="23" spans="2:15" x14ac:dyDescent="0.3">
      <c r="B23" s="99"/>
      <c r="C23" s="96"/>
      <c r="D23" s="102"/>
      <c r="E23" s="1" t="s">
        <v>60</v>
      </c>
      <c r="F23" s="2" t="s">
        <v>54</v>
      </c>
      <c r="G23" s="2" t="s">
        <v>54</v>
      </c>
      <c r="H23" s="14" t="s">
        <v>54</v>
      </c>
      <c r="I23" s="12"/>
      <c r="J23" s="12"/>
      <c r="K23" s="20">
        <v>27.03</v>
      </c>
      <c r="L23" s="1">
        <v>27.032800000000002</v>
      </c>
      <c r="M23" s="1">
        <v>33.4319428218</v>
      </c>
      <c r="N23" s="17">
        <f>270329.068341/10000</f>
        <v>27.0329068341</v>
      </c>
      <c r="O23" s="1"/>
    </row>
    <row r="24" spans="2:15" x14ac:dyDescent="0.3">
      <c r="B24" s="99"/>
      <c r="C24" s="96"/>
      <c r="D24" s="102"/>
      <c r="E24" s="1" t="s">
        <v>61</v>
      </c>
      <c r="F24" s="2" t="s">
        <v>54</v>
      </c>
      <c r="G24" s="2" t="s">
        <v>54</v>
      </c>
      <c r="H24" s="14" t="s">
        <v>54</v>
      </c>
      <c r="I24" s="12"/>
      <c r="J24" s="12"/>
      <c r="K24" s="20">
        <v>26.2</v>
      </c>
      <c r="L24" s="1">
        <v>31.410699999999999</v>
      </c>
      <c r="M24" s="1">
        <v>29.693381556299997</v>
      </c>
      <c r="N24" s="17">
        <f>273962.682294/10000</f>
        <v>27.3962682294</v>
      </c>
      <c r="O24" s="1"/>
    </row>
    <row r="25" spans="2:15" x14ac:dyDescent="0.3">
      <c r="B25" s="99"/>
      <c r="C25" s="96"/>
      <c r="D25" s="102"/>
      <c r="E25" s="1" t="s">
        <v>62</v>
      </c>
      <c r="F25" s="2" t="s">
        <v>54</v>
      </c>
      <c r="G25" s="2" t="s">
        <v>54</v>
      </c>
      <c r="H25" s="14" t="s">
        <v>54</v>
      </c>
      <c r="I25" s="12"/>
      <c r="J25" s="12"/>
      <c r="K25" s="20">
        <v>10.86</v>
      </c>
      <c r="L25" s="1">
        <v>10.8613</v>
      </c>
      <c r="M25" s="1">
        <v>10.861336017099999</v>
      </c>
      <c r="N25" s="17">
        <f>108613.338553/10000</f>
        <v>10.8613338553</v>
      </c>
      <c r="O25" s="1"/>
    </row>
    <row r="26" spans="2:15" x14ac:dyDescent="0.3">
      <c r="B26" s="99"/>
      <c r="C26" s="96"/>
      <c r="D26" s="102"/>
      <c r="E26" s="1" t="s">
        <v>63</v>
      </c>
      <c r="F26" s="2" t="s">
        <v>54</v>
      </c>
      <c r="G26" s="2" t="s">
        <v>54</v>
      </c>
      <c r="H26" s="14" t="s">
        <v>54</v>
      </c>
      <c r="I26" s="12"/>
      <c r="J26" s="12"/>
      <c r="K26" s="20">
        <v>40.51</v>
      </c>
      <c r="L26" s="1">
        <v>40.513800000000003</v>
      </c>
      <c r="M26" s="1">
        <v>41.521944898999998</v>
      </c>
      <c r="N26" s="17">
        <f>405137.623198/10000</f>
        <v>40.513762319800001</v>
      </c>
      <c r="O26" s="1"/>
    </row>
    <row r="27" spans="2:15" x14ac:dyDescent="0.3">
      <c r="B27" s="99"/>
      <c r="C27" s="96"/>
      <c r="D27" s="102"/>
      <c r="E27" s="1" t="s">
        <v>64</v>
      </c>
      <c r="F27" s="2" t="s">
        <v>54</v>
      </c>
      <c r="G27" s="2" t="s">
        <v>54</v>
      </c>
      <c r="H27" s="14" t="s">
        <v>54</v>
      </c>
      <c r="I27" s="12"/>
      <c r="J27" s="12"/>
      <c r="K27" s="20">
        <v>151.9</v>
      </c>
      <c r="L27" s="1">
        <v>308.75639999999999</v>
      </c>
      <c r="M27" s="1">
        <v>147.85525293109998</v>
      </c>
      <c r="N27" s="17">
        <f>1480006.440002/10000</f>
        <v>148.0006440002</v>
      </c>
      <c r="O27" s="1"/>
    </row>
    <row r="28" spans="2:15" x14ac:dyDescent="0.3">
      <c r="B28" s="99"/>
      <c r="C28" s="96"/>
      <c r="D28" s="102"/>
      <c r="E28" s="1" t="s">
        <v>65</v>
      </c>
      <c r="F28" s="2" t="s">
        <v>54</v>
      </c>
      <c r="G28" s="2" t="s">
        <v>54</v>
      </c>
      <c r="H28" s="14" t="s">
        <v>54</v>
      </c>
      <c r="I28" s="12"/>
      <c r="J28" s="12"/>
      <c r="K28" s="20">
        <v>222.54</v>
      </c>
      <c r="L28" s="1">
        <v>231.5625</v>
      </c>
      <c r="M28" s="1">
        <v>222.47447835599999</v>
      </c>
      <c r="N28" s="17">
        <f>2227581.91336/10000</f>
        <v>222.75819133600001</v>
      </c>
      <c r="O28" s="1"/>
    </row>
    <row r="29" spans="2:15" x14ac:dyDescent="0.3">
      <c r="B29" s="99"/>
      <c r="C29" s="96"/>
      <c r="D29" s="102"/>
      <c r="E29" s="1" t="s">
        <v>66</v>
      </c>
      <c r="F29" s="2" t="s">
        <v>54</v>
      </c>
      <c r="G29" s="2" t="s">
        <v>54</v>
      </c>
      <c r="H29" s="14" t="s">
        <v>54</v>
      </c>
      <c r="I29" s="12"/>
      <c r="J29" s="12"/>
      <c r="K29" s="20">
        <v>58.88</v>
      </c>
      <c r="L29" s="1">
        <v>64.606200000000001</v>
      </c>
      <c r="M29" s="1">
        <v>62.167236724699997</v>
      </c>
      <c r="N29" s="17">
        <f>588878.299843/10000</f>
        <v>58.887829984300005</v>
      </c>
      <c r="O29" s="1"/>
    </row>
    <row r="30" spans="2:15" x14ac:dyDescent="0.3">
      <c r="B30" s="99"/>
      <c r="C30" s="96"/>
      <c r="D30" s="102"/>
      <c r="E30" s="1" t="s">
        <v>96</v>
      </c>
      <c r="F30" s="2"/>
      <c r="G30" s="2"/>
      <c r="H30" s="14" t="s">
        <v>54</v>
      </c>
      <c r="I30" s="12"/>
      <c r="J30" s="12"/>
      <c r="K30" s="20">
        <v>0</v>
      </c>
      <c r="L30" s="4">
        <v>0</v>
      </c>
      <c r="M30" s="4">
        <v>95.568606313400011</v>
      </c>
      <c r="N30" s="23">
        <f>332077.911444/10000</f>
        <v>33.207791144400005</v>
      </c>
      <c r="O30" s="4"/>
    </row>
    <row r="31" spans="2:15" x14ac:dyDescent="0.3">
      <c r="B31" s="99"/>
      <c r="C31" s="96"/>
      <c r="D31" s="102"/>
      <c r="E31" s="1" t="s">
        <v>97</v>
      </c>
      <c r="F31" s="2"/>
      <c r="G31" s="2" t="s">
        <v>54</v>
      </c>
      <c r="H31" s="14" t="s">
        <v>54</v>
      </c>
      <c r="I31" s="12"/>
      <c r="J31" s="12"/>
      <c r="K31" s="20">
        <v>0</v>
      </c>
      <c r="L31" s="1">
        <v>5.8974000000000002</v>
      </c>
      <c r="M31" s="1">
        <v>3.4138241747000002</v>
      </c>
      <c r="N31" s="17">
        <f>34138.244003/10000</f>
        <v>3.4138244002999998</v>
      </c>
      <c r="O31" s="1"/>
    </row>
    <row r="32" spans="2:15" x14ac:dyDescent="0.3">
      <c r="B32" s="99"/>
      <c r="C32" s="96"/>
      <c r="D32" s="103"/>
      <c r="E32" s="1" t="s">
        <v>98</v>
      </c>
      <c r="F32" s="2"/>
      <c r="G32" s="2" t="s">
        <v>54</v>
      </c>
      <c r="H32" s="14" t="s">
        <v>54</v>
      </c>
      <c r="I32" s="12"/>
      <c r="J32" s="12"/>
      <c r="K32" s="20">
        <v>0</v>
      </c>
      <c r="L32" s="1">
        <v>7.7694000000000001</v>
      </c>
      <c r="M32" s="1">
        <v>7.7524823717000011</v>
      </c>
      <c r="N32" s="17">
        <f>77524.839934/10000</f>
        <v>7.7524839934000003</v>
      </c>
      <c r="O32" s="1"/>
    </row>
    <row r="33" spans="2:15" ht="66" x14ac:dyDescent="0.3">
      <c r="B33" s="99"/>
      <c r="C33" s="96"/>
      <c r="D33" s="101" t="s">
        <v>82</v>
      </c>
      <c r="E33" s="31" t="s">
        <v>3</v>
      </c>
      <c r="F33" s="2" t="s">
        <v>54</v>
      </c>
      <c r="G33" s="2"/>
      <c r="H33" s="12" t="s">
        <v>133</v>
      </c>
      <c r="I33" s="12"/>
      <c r="J33" s="12"/>
      <c r="K33" s="20">
        <v>11.16</v>
      </c>
      <c r="L33" s="1">
        <v>0</v>
      </c>
      <c r="M33" s="1">
        <v>0</v>
      </c>
      <c r="N33" s="17">
        <f>111651.5888/10000</f>
        <v>11.16515888</v>
      </c>
      <c r="O33" s="1"/>
    </row>
    <row r="34" spans="2:15" ht="82.5" x14ac:dyDescent="0.3">
      <c r="B34" s="99"/>
      <c r="C34" s="96"/>
      <c r="D34" s="102"/>
      <c r="E34" s="1" t="s">
        <v>4</v>
      </c>
      <c r="F34" s="2" t="s">
        <v>54</v>
      </c>
      <c r="G34" s="2" t="s">
        <v>54</v>
      </c>
      <c r="H34" s="12" t="s">
        <v>140</v>
      </c>
      <c r="I34" s="12"/>
      <c r="J34" s="12"/>
      <c r="K34" s="20">
        <v>91.51</v>
      </c>
      <c r="L34" s="1">
        <v>91.481499999999997</v>
      </c>
      <c r="M34" s="1">
        <v>0</v>
      </c>
      <c r="N34" s="17">
        <f>915164.987859/10000</f>
        <v>91.516498785899998</v>
      </c>
      <c r="O34" s="1"/>
    </row>
    <row r="35" spans="2:15" ht="33" x14ac:dyDescent="0.3">
      <c r="B35" s="99"/>
      <c r="C35" s="96"/>
      <c r="D35" s="102"/>
      <c r="E35" s="30" t="s">
        <v>5</v>
      </c>
      <c r="F35" s="2" t="s">
        <v>54</v>
      </c>
      <c r="G35" s="2"/>
      <c r="H35" s="12" t="s">
        <v>125</v>
      </c>
      <c r="I35" s="12"/>
      <c r="J35" s="12"/>
      <c r="K35" s="20">
        <v>179.13</v>
      </c>
      <c r="L35" s="1">
        <v>0</v>
      </c>
      <c r="M35" s="1">
        <v>0</v>
      </c>
      <c r="N35" s="17">
        <f>1791336.079319/10000</f>
        <v>179.1336079319</v>
      </c>
      <c r="O35" s="1"/>
    </row>
    <row r="36" spans="2:15" ht="33" x14ac:dyDescent="0.3">
      <c r="B36" s="99"/>
      <c r="C36" s="96"/>
      <c r="D36" s="102"/>
      <c r="E36" s="30" t="s">
        <v>6</v>
      </c>
      <c r="F36" s="2" t="s">
        <v>54</v>
      </c>
      <c r="G36" s="2"/>
      <c r="H36" s="12" t="s">
        <v>123</v>
      </c>
      <c r="I36" s="12"/>
      <c r="J36" s="12"/>
      <c r="K36" s="20">
        <v>621.80999999999995</v>
      </c>
      <c r="L36" s="1">
        <v>0</v>
      </c>
      <c r="M36" s="1">
        <v>0</v>
      </c>
      <c r="N36" s="17">
        <f>6218110.60088/10000</f>
        <v>621.81106008799998</v>
      </c>
      <c r="O36" s="1"/>
    </row>
    <row r="37" spans="2:15" ht="49.5" x14ac:dyDescent="0.3">
      <c r="B37" s="99"/>
      <c r="C37" s="96"/>
      <c r="D37" s="102"/>
      <c r="E37" s="1" t="s">
        <v>7</v>
      </c>
      <c r="F37" s="2" t="s">
        <v>54</v>
      </c>
      <c r="G37" s="2"/>
      <c r="H37" s="12" t="s">
        <v>132</v>
      </c>
      <c r="I37" s="12"/>
      <c r="J37" s="12"/>
      <c r="K37" s="20">
        <v>190.45</v>
      </c>
      <c r="L37" s="1">
        <v>0</v>
      </c>
      <c r="M37" s="1">
        <v>0</v>
      </c>
      <c r="N37" s="17">
        <f>1904498.389546/10000</f>
        <v>190.44983895459998</v>
      </c>
      <c r="O37" s="1"/>
    </row>
    <row r="38" spans="2:15" ht="132" x14ac:dyDescent="0.3">
      <c r="B38" s="99"/>
      <c r="C38" s="96"/>
      <c r="D38" s="102"/>
      <c r="E38" s="1" t="s">
        <v>8</v>
      </c>
      <c r="F38" s="2" t="s">
        <v>54</v>
      </c>
      <c r="G38" s="2"/>
      <c r="H38" s="12" t="s">
        <v>135</v>
      </c>
      <c r="I38" s="12"/>
      <c r="J38" s="12"/>
      <c r="K38" s="20">
        <v>79.13</v>
      </c>
      <c r="L38" s="1">
        <v>0</v>
      </c>
      <c r="M38" s="1">
        <v>0</v>
      </c>
      <c r="N38" s="17">
        <f>1009884.144908/10000</f>
        <v>100.9884144908</v>
      </c>
      <c r="O38" s="1"/>
    </row>
    <row r="39" spans="2:15" ht="148.5" x14ac:dyDescent="0.3">
      <c r="B39" s="99"/>
      <c r="C39" s="96"/>
      <c r="D39" s="102"/>
      <c r="E39" s="1" t="s">
        <v>9</v>
      </c>
      <c r="F39" s="2" t="s">
        <v>54</v>
      </c>
      <c r="G39" s="2"/>
      <c r="H39" s="12" t="s">
        <v>148</v>
      </c>
      <c r="I39" s="12"/>
      <c r="J39" s="12"/>
      <c r="K39" s="20">
        <v>29.31</v>
      </c>
      <c r="L39" s="1">
        <v>0</v>
      </c>
      <c r="M39" s="1">
        <v>0</v>
      </c>
      <c r="N39" s="17">
        <f>293182.599389/10000</f>
        <v>29.318259938899999</v>
      </c>
      <c r="O39" s="1"/>
    </row>
    <row r="40" spans="2:15" ht="82.5" x14ac:dyDescent="0.3">
      <c r="B40" s="99"/>
      <c r="C40" s="96"/>
      <c r="D40" s="102"/>
      <c r="E40" s="1" t="s">
        <v>10</v>
      </c>
      <c r="F40" s="2" t="s">
        <v>54</v>
      </c>
      <c r="G40" s="2" t="s">
        <v>54</v>
      </c>
      <c r="H40" s="12" t="s">
        <v>140</v>
      </c>
      <c r="I40" s="12"/>
      <c r="J40" s="12"/>
      <c r="K40" s="20">
        <v>51.69</v>
      </c>
      <c r="L40" s="1">
        <v>51.697400000000002</v>
      </c>
      <c r="M40" s="1">
        <v>0</v>
      </c>
      <c r="N40" s="17">
        <f>516973.375877/10000</f>
        <v>51.697337587699998</v>
      </c>
      <c r="O40" s="1"/>
    </row>
    <row r="41" spans="2:15" ht="33" x14ac:dyDescent="0.3">
      <c r="B41" s="99"/>
      <c r="C41" s="96"/>
      <c r="D41" s="102"/>
      <c r="E41" s="30" t="s">
        <v>11</v>
      </c>
      <c r="F41" s="2" t="s">
        <v>54</v>
      </c>
      <c r="G41" s="2"/>
      <c r="H41" s="12" t="s">
        <v>125</v>
      </c>
      <c r="I41" s="12"/>
      <c r="J41" s="12"/>
      <c r="K41" s="20">
        <v>178.94</v>
      </c>
      <c r="L41" s="1">
        <v>0</v>
      </c>
      <c r="M41" s="1">
        <v>0</v>
      </c>
      <c r="N41" s="17">
        <f>1789432.388363/10000</f>
        <v>178.9432388363</v>
      </c>
      <c r="O41" s="1"/>
    </row>
    <row r="42" spans="2:15" ht="33" x14ac:dyDescent="0.3">
      <c r="B42" s="99"/>
      <c r="C42" s="96"/>
      <c r="D42" s="102"/>
      <c r="E42" s="30" t="s">
        <v>12</v>
      </c>
      <c r="F42" s="2" t="s">
        <v>54</v>
      </c>
      <c r="G42" s="2"/>
      <c r="H42" s="12" t="s">
        <v>123</v>
      </c>
      <c r="I42" s="12"/>
      <c r="J42" s="12"/>
      <c r="K42" s="20">
        <v>165.43</v>
      </c>
      <c r="L42" s="1">
        <v>0</v>
      </c>
      <c r="M42" s="1">
        <v>0</v>
      </c>
      <c r="N42" s="17">
        <f>1654313.844133/10000</f>
        <v>165.43138441329998</v>
      </c>
      <c r="O42" s="1"/>
    </row>
    <row r="43" spans="2:15" ht="33" x14ac:dyDescent="0.3">
      <c r="B43" s="99"/>
      <c r="C43" s="96"/>
      <c r="D43" s="102"/>
      <c r="E43" s="30" t="s">
        <v>13</v>
      </c>
      <c r="F43" s="2" t="s">
        <v>54</v>
      </c>
      <c r="G43" s="2"/>
      <c r="H43" s="12" t="s">
        <v>123</v>
      </c>
      <c r="I43" s="12"/>
      <c r="J43" s="12"/>
      <c r="K43" s="20">
        <v>405.9</v>
      </c>
      <c r="L43" s="1">
        <v>0</v>
      </c>
      <c r="M43" s="1">
        <v>0</v>
      </c>
      <c r="N43" s="17">
        <f>4059057.528865/10000</f>
        <v>405.90575288650001</v>
      </c>
      <c r="O43" s="1"/>
    </row>
    <row r="44" spans="2:15" ht="198" x14ac:dyDescent="0.3">
      <c r="B44" s="99"/>
      <c r="C44" s="96"/>
      <c r="D44" s="102"/>
      <c r="E44" s="1" t="s">
        <v>14</v>
      </c>
      <c r="F44" s="2" t="s">
        <v>54</v>
      </c>
      <c r="G44" s="2"/>
      <c r="H44" s="12" t="s">
        <v>141</v>
      </c>
      <c r="I44" s="12"/>
      <c r="J44" s="12"/>
      <c r="K44" s="20">
        <v>187.45</v>
      </c>
      <c r="L44" s="1">
        <v>0</v>
      </c>
      <c r="M44" s="1">
        <v>0</v>
      </c>
      <c r="N44" s="17">
        <f>1874564.797904/10000</f>
        <v>187.45647979039998</v>
      </c>
      <c r="O44" s="1"/>
    </row>
    <row r="45" spans="2:15" ht="33" x14ac:dyDescent="0.3">
      <c r="B45" s="99"/>
      <c r="C45" s="96"/>
      <c r="D45" s="102"/>
      <c r="E45" s="1" t="s">
        <v>15</v>
      </c>
      <c r="F45" s="2" t="s">
        <v>54</v>
      </c>
      <c r="G45" s="2" t="s">
        <v>54</v>
      </c>
      <c r="H45" s="12" t="s">
        <v>126</v>
      </c>
      <c r="I45" s="12"/>
      <c r="J45" s="12"/>
      <c r="K45" s="20">
        <v>47.24</v>
      </c>
      <c r="L45" s="1">
        <v>47.247199999999999</v>
      </c>
      <c r="M45" s="1">
        <v>0</v>
      </c>
      <c r="N45" s="17">
        <f>472470.895575/10000</f>
        <v>47.247089557499997</v>
      </c>
      <c r="O45" s="1"/>
    </row>
    <row r="46" spans="2:15" ht="115.5" x14ac:dyDescent="0.3">
      <c r="B46" s="99"/>
      <c r="C46" s="96"/>
      <c r="D46" s="102"/>
      <c r="E46" s="1" t="s">
        <v>16</v>
      </c>
      <c r="F46" s="2" t="s">
        <v>54</v>
      </c>
      <c r="G46" s="2" t="s">
        <v>54</v>
      </c>
      <c r="H46" s="12" t="s">
        <v>139</v>
      </c>
      <c r="I46" s="12"/>
      <c r="J46" s="12"/>
      <c r="K46" s="20">
        <v>185.74</v>
      </c>
      <c r="L46" s="1">
        <v>185.7474</v>
      </c>
      <c r="M46" s="1">
        <v>0</v>
      </c>
      <c r="N46" s="17">
        <f>1857469.837977/10000</f>
        <v>185.74698379770001</v>
      </c>
      <c r="O46" s="1"/>
    </row>
    <row r="47" spans="2:15" ht="33" x14ac:dyDescent="0.3">
      <c r="B47" s="99"/>
      <c r="C47" s="96"/>
      <c r="D47" s="102"/>
      <c r="E47" s="30" t="s">
        <v>17</v>
      </c>
      <c r="F47" s="2" t="s">
        <v>54</v>
      </c>
      <c r="G47" s="2"/>
      <c r="H47" s="12" t="s">
        <v>125</v>
      </c>
      <c r="I47" s="12"/>
      <c r="J47" s="12"/>
      <c r="K47" s="20">
        <v>406.13</v>
      </c>
      <c r="L47" s="1">
        <v>0</v>
      </c>
      <c r="M47" s="1">
        <v>0</v>
      </c>
      <c r="N47" s="17">
        <f>4061347.547274/10000</f>
        <v>406.13475472739998</v>
      </c>
      <c r="O47" s="1"/>
    </row>
    <row r="48" spans="2:15" ht="33" x14ac:dyDescent="0.3">
      <c r="B48" s="99"/>
      <c r="C48" s="96"/>
      <c r="D48" s="102"/>
      <c r="E48" s="30" t="s">
        <v>18</v>
      </c>
      <c r="F48" s="2" t="s">
        <v>54</v>
      </c>
      <c r="G48" s="2"/>
      <c r="H48" s="12" t="s">
        <v>123</v>
      </c>
      <c r="I48" s="12"/>
      <c r="J48" s="12"/>
      <c r="K48" s="20">
        <v>194.07</v>
      </c>
      <c r="L48" s="1">
        <v>0</v>
      </c>
      <c r="M48" s="1">
        <v>0</v>
      </c>
      <c r="N48" s="17">
        <f>1940792.958233/10000</f>
        <v>194.07929582330001</v>
      </c>
      <c r="O48" s="1"/>
    </row>
    <row r="49" spans="2:15" ht="33" x14ac:dyDescent="0.3">
      <c r="B49" s="99"/>
      <c r="C49" s="96"/>
      <c r="D49" s="102"/>
      <c r="E49" s="30" t="s">
        <v>19</v>
      </c>
      <c r="F49" s="2" t="s">
        <v>54</v>
      </c>
      <c r="G49" s="2"/>
      <c r="H49" s="12" t="s">
        <v>123</v>
      </c>
      <c r="I49" s="12"/>
      <c r="J49" s="12"/>
      <c r="K49" s="20">
        <v>189.79</v>
      </c>
      <c r="L49" s="1">
        <v>0</v>
      </c>
      <c r="M49" s="1">
        <v>0</v>
      </c>
      <c r="N49" s="17">
        <f>1981729.00371/10000</f>
        <v>198.172900371</v>
      </c>
      <c r="O49" s="1"/>
    </row>
    <row r="50" spans="2:15" ht="115.5" x14ac:dyDescent="0.3">
      <c r="B50" s="99"/>
      <c r="C50" s="96"/>
      <c r="D50" s="102"/>
      <c r="E50" s="1" t="s">
        <v>20</v>
      </c>
      <c r="F50" s="2" t="s">
        <v>54</v>
      </c>
      <c r="G50" s="2"/>
      <c r="H50" s="12" t="s">
        <v>134</v>
      </c>
      <c r="I50" s="12"/>
      <c r="J50" s="12"/>
      <c r="K50" s="20">
        <v>50.74</v>
      </c>
      <c r="L50" s="1">
        <v>0</v>
      </c>
      <c r="M50" s="1">
        <v>0</v>
      </c>
      <c r="N50" s="17">
        <f>507482.607588/10000</f>
        <v>50.748260758800001</v>
      </c>
      <c r="O50" s="1"/>
    </row>
    <row r="51" spans="2:15" ht="49.5" x14ac:dyDescent="0.3">
      <c r="B51" s="99"/>
      <c r="C51" s="96"/>
      <c r="D51" s="102"/>
      <c r="E51" s="1" t="s">
        <v>21</v>
      </c>
      <c r="F51" s="2" t="s">
        <v>54</v>
      </c>
      <c r="G51" s="2" t="s">
        <v>54</v>
      </c>
      <c r="H51" s="12" t="s">
        <v>137</v>
      </c>
      <c r="I51" s="12"/>
      <c r="J51" s="12"/>
      <c r="K51" s="20">
        <v>10.119999999999999</v>
      </c>
      <c r="L51" s="1">
        <v>10.1012</v>
      </c>
      <c r="M51" s="1">
        <v>0</v>
      </c>
      <c r="N51" s="17">
        <f>101225.007038/10000</f>
        <v>10.1225007038</v>
      </c>
      <c r="O51" s="1"/>
    </row>
    <row r="52" spans="2:15" ht="49.5" x14ac:dyDescent="0.3">
      <c r="B52" s="99"/>
      <c r="C52" s="96"/>
      <c r="D52" s="102"/>
      <c r="E52" s="1" t="s">
        <v>22</v>
      </c>
      <c r="F52" s="2" t="s">
        <v>54</v>
      </c>
      <c r="G52" s="2" t="s">
        <v>54</v>
      </c>
      <c r="H52" s="12" t="s">
        <v>137</v>
      </c>
      <c r="I52" s="12"/>
      <c r="J52" s="12"/>
      <c r="K52" s="20">
        <v>60.79</v>
      </c>
      <c r="L52" s="1">
        <v>60.796500000000002</v>
      </c>
      <c r="M52" s="1">
        <v>0</v>
      </c>
      <c r="N52" s="17">
        <f>607964.054036/10000</f>
        <v>60.796405403600005</v>
      </c>
      <c r="O52" s="1"/>
    </row>
    <row r="53" spans="2:15" ht="33" x14ac:dyDescent="0.3">
      <c r="B53" s="99"/>
      <c r="C53" s="96"/>
      <c r="D53" s="102"/>
      <c r="E53" s="1" t="s">
        <v>23</v>
      </c>
      <c r="F53" s="2" t="s">
        <v>54</v>
      </c>
      <c r="G53" s="2" t="s">
        <v>54</v>
      </c>
      <c r="H53" s="12" t="s">
        <v>128</v>
      </c>
      <c r="I53" s="12"/>
      <c r="J53" s="12"/>
      <c r="K53" s="20">
        <v>16.760000000000002</v>
      </c>
      <c r="L53" s="1">
        <v>159.3681</v>
      </c>
      <c r="M53" s="1">
        <v>0</v>
      </c>
      <c r="N53" s="17">
        <f>1593677.673229/10000</f>
        <v>159.36776732289999</v>
      </c>
      <c r="O53" s="1"/>
    </row>
    <row r="54" spans="2:15" ht="165" x14ac:dyDescent="0.3">
      <c r="B54" s="99"/>
      <c r="C54" s="96"/>
      <c r="D54" s="102"/>
      <c r="E54" s="1" t="s">
        <v>24</v>
      </c>
      <c r="F54" s="2" t="s">
        <v>54</v>
      </c>
      <c r="G54" s="2"/>
      <c r="H54" s="12" t="s">
        <v>143</v>
      </c>
      <c r="I54" s="12"/>
      <c r="J54" s="12"/>
      <c r="K54" s="20">
        <v>774.71</v>
      </c>
      <c r="L54" s="1">
        <v>0</v>
      </c>
      <c r="M54" s="1">
        <v>0</v>
      </c>
      <c r="N54" s="17">
        <f>7747158.488753/10000</f>
        <v>774.71584887530003</v>
      </c>
      <c r="O54" s="1"/>
    </row>
    <row r="55" spans="2:15" ht="33" x14ac:dyDescent="0.3">
      <c r="B55" s="99"/>
      <c r="C55" s="96"/>
      <c r="D55" s="102"/>
      <c r="E55" s="30" t="s">
        <v>25</v>
      </c>
      <c r="F55" s="2" t="s">
        <v>54</v>
      </c>
      <c r="G55" s="2"/>
      <c r="H55" s="12" t="s">
        <v>123</v>
      </c>
      <c r="I55" s="12"/>
      <c r="J55" s="12"/>
      <c r="K55" s="20">
        <v>315.69</v>
      </c>
      <c r="L55" s="1">
        <v>0</v>
      </c>
      <c r="M55" s="1">
        <v>0</v>
      </c>
      <c r="N55" s="17">
        <f>3156920.990837/10000</f>
        <v>315.69209908369999</v>
      </c>
      <c r="O55" s="1"/>
    </row>
    <row r="56" spans="2:15" ht="53.25" customHeight="1" x14ac:dyDescent="0.3">
      <c r="B56" s="99"/>
      <c r="C56" s="96"/>
      <c r="D56" s="102"/>
      <c r="E56" s="1" t="s">
        <v>26</v>
      </c>
      <c r="F56" s="2" t="s">
        <v>54</v>
      </c>
      <c r="G56" s="2"/>
      <c r="H56" s="12" t="s">
        <v>127</v>
      </c>
      <c r="I56" s="12"/>
      <c r="J56" s="12"/>
      <c r="K56" s="20">
        <v>9.61</v>
      </c>
      <c r="L56" s="1">
        <v>0</v>
      </c>
      <c r="M56" s="1">
        <v>0</v>
      </c>
      <c r="N56" s="17">
        <f>96174.680938/10000</f>
        <v>9.6174680938000012</v>
      </c>
      <c r="O56" s="1"/>
    </row>
    <row r="57" spans="2:15" ht="33" x14ac:dyDescent="0.3">
      <c r="B57" s="99"/>
      <c r="C57" s="96"/>
      <c r="D57" s="102"/>
      <c r="E57" s="1" t="s">
        <v>27</v>
      </c>
      <c r="F57" s="2" t="s">
        <v>54</v>
      </c>
      <c r="G57" s="2" t="s">
        <v>54</v>
      </c>
      <c r="H57" s="12" t="s">
        <v>126</v>
      </c>
      <c r="I57" s="12"/>
      <c r="J57" s="12"/>
      <c r="K57" s="20">
        <v>69.209999999999994</v>
      </c>
      <c r="L57" s="1">
        <v>68.725700000000003</v>
      </c>
      <c r="M57" s="1">
        <v>0</v>
      </c>
      <c r="N57" s="17">
        <f>692150.692893/10000</f>
        <v>69.215069289300004</v>
      </c>
      <c r="O57" s="1"/>
    </row>
    <row r="58" spans="2:15" ht="115.5" x14ac:dyDescent="0.3">
      <c r="B58" s="99"/>
      <c r="C58" s="96"/>
      <c r="D58" s="102"/>
      <c r="E58" s="1" t="s">
        <v>28</v>
      </c>
      <c r="F58" s="2" t="s">
        <v>54</v>
      </c>
      <c r="G58" s="2" t="s">
        <v>54</v>
      </c>
      <c r="H58" s="12" t="s">
        <v>138</v>
      </c>
      <c r="I58" s="12"/>
      <c r="J58" s="12"/>
      <c r="K58" s="20">
        <v>164.15</v>
      </c>
      <c r="L58" s="1">
        <v>163.65110000000001</v>
      </c>
      <c r="M58" s="1">
        <v>0</v>
      </c>
      <c r="N58" s="17">
        <f>1641564.474253/10000</f>
        <v>164.1564474253</v>
      </c>
      <c r="O58" s="1"/>
    </row>
    <row r="59" spans="2:15" ht="148.5" x14ac:dyDescent="0.3">
      <c r="B59" s="99"/>
      <c r="C59" s="96"/>
      <c r="D59" s="102"/>
      <c r="E59" s="1" t="s">
        <v>29</v>
      </c>
      <c r="F59" s="2" t="s">
        <v>54</v>
      </c>
      <c r="G59" s="2" t="s">
        <v>54</v>
      </c>
      <c r="H59" s="12" t="s">
        <v>144</v>
      </c>
      <c r="I59" s="12"/>
      <c r="J59" s="12"/>
      <c r="K59" s="20">
        <v>2431.4499999999998</v>
      </c>
      <c r="L59" s="1">
        <v>2316.7586999999999</v>
      </c>
      <c r="M59" s="1">
        <v>0</v>
      </c>
      <c r="N59" s="17">
        <f>24314443.929101/10000</f>
        <v>2431.4443929101003</v>
      </c>
      <c r="O59" s="1"/>
    </row>
    <row r="60" spans="2:15" ht="33" x14ac:dyDescent="0.3">
      <c r="B60" s="99"/>
      <c r="C60" s="96"/>
      <c r="D60" s="102"/>
      <c r="E60" s="30" t="s">
        <v>30</v>
      </c>
      <c r="F60" s="2" t="s">
        <v>54</v>
      </c>
      <c r="G60" s="2"/>
      <c r="H60" s="12" t="s">
        <v>123</v>
      </c>
      <c r="I60" s="12"/>
      <c r="J60" s="12"/>
      <c r="K60" s="20">
        <v>287.58999999999997</v>
      </c>
      <c r="L60" s="1">
        <v>0</v>
      </c>
      <c r="M60" s="1">
        <v>0</v>
      </c>
      <c r="N60" s="17">
        <f>2875912.742074/10000</f>
        <v>287.59127420740003</v>
      </c>
      <c r="O60" s="1"/>
    </row>
    <row r="61" spans="2:15" ht="132" x14ac:dyDescent="0.3">
      <c r="B61" s="99"/>
      <c r="C61" s="96"/>
      <c r="D61" s="102"/>
      <c r="E61" s="1" t="s">
        <v>55</v>
      </c>
      <c r="F61" s="2" t="s">
        <v>54</v>
      </c>
      <c r="G61" s="2"/>
      <c r="H61" s="12" t="s">
        <v>142</v>
      </c>
      <c r="I61" s="12"/>
      <c r="J61" s="12"/>
      <c r="K61" s="20">
        <v>428.62</v>
      </c>
      <c r="L61" s="1">
        <v>0</v>
      </c>
      <c r="M61" s="1">
        <v>0</v>
      </c>
      <c r="N61" s="17">
        <f>4286251.869481/10000</f>
        <v>428.62518694810001</v>
      </c>
      <c r="O61" s="1"/>
    </row>
    <row r="62" spans="2:15" ht="132" x14ac:dyDescent="0.3">
      <c r="B62" s="99"/>
      <c r="C62" s="96"/>
      <c r="D62" s="102"/>
      <c r="E62" s="1" t="s">
        <v>31</v>
      </c>
      <c r="F62" s="2" t="s">
        <v>54</v>
      </c>
      <c r="G62" s="2"/>
      <c r="H62" s="12" t="s">
        <v>146</v>
      </c>
      <c r="I62" s="12"/>
      <c r="J62" s="12"/>
      <c r="K62" s="20">
        <v>253.92</v>
      </c>
      <c r="L62" s="1">
        <v>0</v>
      </c>
      <c r="M62" s="1">
        <v>0</v>
      </c>
      <c r="N62" s="17">
        <f>2539231.926943/10000</f>
        <v>253.92319269429998</v>
      </c>
      <c r="O62" s="1"/>
    </row>
    <row r="63" spans="2:15" ht="33" x14ac:dyDescent="0.3">
      <c r="B63" s="99"/>
      <c r="C63" s="96"/>
      <c r="D63" s="102"/>
      <c r="E63" s="1" t="s">
        <v>32</v>
      </c>
      <c r="F63" s="2" t="s">
        <v>54</v>
      </c>
      <c r="G63" s="2" t="s">
        <v>54</v>
      </c>
      <c r="H63" s="12" t="s">
        <v>126</v>
      </c>
      <c r="I63" s="12"/>
      <c r="J63" s="12"/>
      <c r="K63" s="20">
        <v>34.75</v>
      </c>
      <c r="L63" s="1">
        <v>34.755600000000001</v>
      </c>
      <c r="M63" s="1">
        <v>0</v>
      </c>
      <c r="N63" s="17">
        <f>347555.252522/10000</f>
        <v>34.755525252200002</v>
      </c>
      <c r="O63" s="1"/>
    </row>
    <row r="64" spans="2:15" ht="33" x14ac:dyDescent="0.3">
      <c r="B64" s="99"/>
      <c r="C64" s="96"/>
      <c r="D64" s="102"/>
      <c r="E64" s="1" t="s">
        <v>33</v>
      </c>
      <c r="F64" s="2" t="s">
        <v>54</v>
      </c>
      <c r="G64" s="2" t="s">
        <v>54</v>
      </c>
      <c r="H64" s="12" t="s">
        <v>131</v>
      </c>
      <c r="I64" s="12"/>
      <c r="J64" s="12"/>
      <c r="K64" s="20">
        <v>10.34</v>
      </c>
      <c r="L64" s="1">
        <v>10.3446</v>
      </c>
      <c r="M64" s="1">
        <v>0</v>
      </c>
      <c r="N64" s="17">
        <f>103445.859472/10000</f>
        <v>10.344585947199999</v>
      </c>
      <c r="O64" s="1"/>
    </row>
    <row r="65" spans="2:15" ht="132" x14ac:dyDescent="0.3">
      <c r="B65" s="99"/>
      <c r="C65" s="96"/>
      <c r="D65" s="102"/>
      <c r="E65" s="1" t="s">
        <v>34</v>
      </c>
      <c r="F65" s="2" t="s">
        <v>54</v>
      </c>
      <c r="G65" s="2" t="s">
        <v>54</v>
      </c>
      <c r="H65" s="12" t="s">
        <v>145</v>
      </c>
      <c r="I65" s="12"/>
      <c r="J65" s="12"/>
      <c r="K65" s="20">
        <v>320.41000000000003</v>
      </c>
      <c r="L65" s="1">
        <v>320.39370000000002</v>
      </c>
      <c r="M65" s="1">
        <v>0</v>
      </c>
      <c r="N65" s="17">
        <f>3204153.362424/10000</f>
        <v>320.41533624240003</v>
      </c>
      <c r="O65" s="1"/>
    </row>
    <row r="66" spans="2:15" ht="33" x14ac:dyDescent="0.3">
      <c r="B66" s="99"/>
      <c r="C66" s="96"/>
      <c r="D66" s="102"/>
      <c r="E66" s="30" t="s">
        <v>35</v>
      </c>
      <c r="F66" s="2" t="s">
        <v>54</v>
      </c>
      <c r="G66" s="2"/>
      <c r="H66" s="12" t="s">
        <v>123</v>
      </c>
      <c r="I66" s="12"/>
      <c r="J66" s="12"/>
      <c r="K66" s="20">
        <v>145.78</v>
      </c>
      <c r="L66" s="1">
        <v>0</v>
      </c>
      <c r="M66" s="1">
        <v>0</v>
      </c>
      <c r="N66" s="17">
        <f>1457867.332415/10000</f>
        <v>145.7867332415</v>
      </c>
      <c r="O66" s="1"/>
    </row>
    <row r="67" spans="2:15" ht="33" x14ac:dyDescent="0.3">
      <c r="B67" s="99"/>
      <c r="C67" s="96"/>
      <c r="D67" s="102"/>
      <c r="E67" s="30" t="s">
        <v>36</v>
      </c>
      <c r="F67" s="2" t="s">
        <v>54</v>
      </c>
      <c r="G67" s="2"/>
      <c r="H67" s="12" t="s">
        <v>123</v>
      </c>
      <c r="I67" s="12"/>
      <c r="J67" s="12"/>
      <c r="K67" s="20">
        <v>194.34</v>
      </c>
      <c r="L67" s="1">
        <v>0</v>
      </c>
      <c r="M67" s="1">
        <v>0</v>
      </c>
      <c r="N67" s="17">
        <f>1943397.213714/10000</f>
        <v>194.3397213714</v>
      </c>
      <c r="O67" s="1"/>
    </row>
    <row r="68" spans="2:15" ht="132" x14ac:dyDescent="0.3">
      <c r="B68" s="99"/>
      <c r="C68" s="96"/>
      <c r="D68" s="102"/>
      <c r="E68" s="1" t="s">
        <v>37</v>
      </c>
      <c r="F68" s="2" t="s">
        <v>54</v>
      </c>
      <c r="G68" s="2"/>
      <c r="H68" s="12" t="s">
        <v>149</v>
      </c>
      <c r="I68" s="12"/>
      <c r="J68" s="12"/>
      <c r="K68" s="20">
        <v>9.0500000000000007</v>
      </c>
      <c r="L68" s="1">
        <v>0</v>
      </c>
      <c r="M68" s="1">
        <v>0</v>
      </c>
      <c r="N68" s="17">
        <f>90500.739464/10000</f>
        <v>9.0500739463999995</v>
      </c>
      <c r="O68" s="1"/>
    </row>
    <row r="69" spans="2:15" ht="115.5" x14ac:dyDescent="0.3">
      <c r="B69" s="99"/>
      <c r="C69" s="96"/>
      <c r="D69" s="102"/>
      <c r="E69" s="1" t="s">
        <v>38</v>
      </c>
      <c r="F69" s="2" t="s">
        <v>54</v>
      </c>
      <c r="G69" s="2" t="s">
        <v>54</v>
      </c>
      <c r="H69" s="12" t="s">
        <v>139</v>
      </c>
      <c r="I69" s="12"/>
      <c r="J69" s="12"/>
      <c r="K69" s="20">
        <v>4606.47</v>
      </c>
      <c r="L69" s="1">
        <v>4606.4704000000002</v>
      </c>
      <c r="M69" s="1">
        <v>0</v>
      </c>
      <c r="N69" s="17">
        <f>46064581.86144/10000</f>
        <v>4606.4581861440001</v>
      </c>
      <c r="O69" s="1"/>
    </row>
    <row r="70" spans="2:15" ht="33" x14ac:dyDescent="0.3">
      <c r="B70" s="99"/>
      <c r="C70" s="96"/>
      <c r="D70" s="102"/>
      <c r="E70" s="1" t="s">
        <v>39</v>
      </c>
      <c r="F70" s="2" t="s">
        <v>54</v>
      </c>
      <c r="G70" s="2"/>
      <c r="H70" s="12" t="s">
        <v>125</v>
      </c>
      <c r="I70" s="12"/>
      <c r="J70" s="12"/>
      <c r="K70" s="20">
        <v>29.34</v>
      </c>
      <c r="L70" s="1">
        <v>0</v>
      </c>
      <c r="M70" s="1">
        <v>0</v>
      </c>
      <c r="N70" s="17">
        <f>536025.236162/10000</f>
        <v>53.602523616199996</v>
      </c>
      <c r="O70" s="1"/>
    </row>
    <row r="71" spans="2:15" ht="49.5" x14ac:dyDescent="0.3">
      <c r="B71" s="99"/>
      <c r="C71" s="96"/>
      <c r="D71" s="102"/>
      <c r="E71" s="1" t="s">
        <v>40</v>
      </c>
      <c r="F71" s="2" t="s">
        <v>54</v>
      </c>
      <c r="G71" s="2" t="s">
        <v>54</v>
      </c>
      <c r="H71" s="12" t="s">
        <v>129</v>
      </c>
      <c r="I71" s="12"/>
      <c r="J71" s="12"/>
      <c r="K71" s="20">
        <v>10.97</v>
      </c>
      <c r="L71" s="1">
        <v>10.9603</v>
      </c>
      <c r="M71" s="1">
        <v>0</v>
      </c>
      <c r="N71" s="17">
        <f>109783.076655/10000</f>
        <v>10.978307665499999</v>
      </c>
      <c r="O71" s="1"/>
    </row>
    <row r="72" spans="2:15" ht="132" x14ac:dyDescent="0.3">
      <c r="B72" s="99"/>
      <c r="C72" s="96"/>
      <c r="D72" s="102"/>
      <c r="E72" s="1" t="s">
        <v>41</v>
      </c>
      <c r="F72" s="2" t="s">
        <v>54</v>
      </c>
      <c r="G72" s="2"/>
      <c r="H72" s="12" t="s">
        <v>142</v>
      </c>
      <c r="I72" s="12"/>
      <c r="J72" s="12"/>
      <c r="K72" s="20">
        <v>1873.6</v>
      </c>
      <c r="L72" s="1">
        <v>0</v>
      </c>
      <c r="M72" s="1">
        <v>0</v>
      </c>
      <c r="N72" s="17">
        <f>18736005.983034/10000</f>
        <v>1873.6005983033999</v>
      </c>
      <c r="O72" s="1"/>
    </row>
    <row r="73" spans="2:15" ht="132" x14ac:dyDescent="0.3">
      <c r="B73" s="99"/>
      <c r="C73" s="96"/>
      <c r="D73" s="102"/>
      <c r="E73" s="1" t="s">
        <v>42</v>
      </c>
      <c r="F73" s="2" t="s">
        <v>54</v>
      </c>
      <c r="G73" s="2"/>
      <c r="H73" s="12" t="s">
        <v>142</v>
      </c>
      <c r="I73" s="12"/>
      <c r="J73" s="12"/>
      <c r="K73" s="20">
        <v>291.3</v>
      </c>
      <c r="L73" s="1">
        <v>0</v>
      </c>
      <c r="M73" s="1">
        <v>0</v>
      </c>
      <c r="N73" s="17">
        <f>2913065.784896/10000</f>
        <v>291.30657848959999</v>
      </c>
      <c r="O73" s="1"/>
    </row>
    <row r="74" spans="2:15" ht="33" x14ac:dyDescent="0.3">
      <c r="B74" s="99"/>
      <c r="C74" s="96"/>
      <c r="D74" s="102"/>
      <c r="E74" s="1" t="s">
        <v>43</v>
      </c>
      <c r="F74" s="2" t="s">
        <v>54</v>
      </c>
      <c r="G74" s="2" t="s">
        <v>54</v>
      </c>
      <c r="H74" s="12" t="s">
        <v>126</v>
      </c>
      <c r="I74" s="12"/>
      <c r="J74" s="12"/>
      <c r="K74" s="20" t="s">
        <v>170</v>
      </c>
      <c r="L74" s="1">
        <v>38.4161</v>
      </c>
      <c r="M74" s="1">
        <v>0</v>
      </c>
      <c r="N74" s="17">
        <f>384160.339833/10000</f>
        <v>38.416033983299997</v>
      </c>
      <c r="O74" s="1"/>
    </row>
    <row r="75" spans="2:15" ht="33" x14ac:dyDescent="0.3">
      <c r="B75" s="99"/>
      <c r="C75" s="96"/>
      <c r="D75" s="102"/>
      <c r="E75" s="1" t="s">
        <v>44</v>
      </c>
      <c r="F75" s="2" t="s">
        <v>54</v>
      </c>
      <c r="G75" s="2"/>
      <c r="H75" s="12" t="s">
        <v>125</v>
      </c>
      <c r="I75" s="12"/>
      <c r="J75" s="12"/>
      <c r="K75" s="20">
        <v>224.32</v>
      </c>
      <c r="L75" s="1">
        <v>0</v>
      </c>
      <c r="M75" s="1">
        <v>0</v>
      </c>
      <c r="N75" s="17">
        <f>2243289.579939/10000</f>
        <v>224.32895799389999</v>
      </c>
      <c r="O75" s="1"/>
    </row>
    <row r="76" spans="2:15" ht="132" x14ac:dyDescent="0.3">
      <c r="B76" s="99"/>
      <c r="C76" s="96"/>
      <c r="D76" s="102"/>
      <c r="E76" s="1" t="s">
        <v>45</v>
      </c>
      <c r="F76" s="2" t="s">
        <v>54</v>
      </c>
      <c r="G76" s="2"/>
      <c r="H76" s="12" t="s">
        <v>142</v>
      </c>
      <c r="I76" s="12"/>
      <c r="J76" s="12"/>
      <c r="K76" s="20">
        <v>1679.5</v>
      </c>
      <c r="L76" s="1">
        <v>0</v>
      </c>
      <c r="M76" s="1">
        <v>0</v>
      </c>
      <c r="N76" s="17">
        <f>16794967.878872/10000</f>
        <v>1679.4967878872001</v>
      </c>
      <c r="O76" s="1"/>
    </row>
    <row r="77" spans="2:15" ht="49.5" x14ac:dyDescent="0.3">
      <c r="B77" s="99"/>
      <c r="C77" s="96"/>
      <c r="D77" s="102"/>
      <c r="E77" s="1" t="s">
        <v>46</v>
      </c>
      <c r="F77" s="2" t="s">
        <v>54</v>
      </c>
      <c r="G77" s="2"/>
      <c r="H77" s="12" t="s">
        <v>130</v>
      </c>
      <c r="I77" s="12"/>
      <c r="J77" s="12"/>
      <c r="K77" s="20">
        <v>12.79</v>
      </c>
      <c r="L77" s="1">
        <v>0</v>
      </c>
      <c r="M77" s="1">
        <v>0</v>
      </c>
      <c r="N77" s="17">
        <f>127927.134642/10000</f>
        <v>12.7927134642</v>
      </c>
      <c r="O77" s="1"/>
    </row>
    <row r="78" spans="2:15" ht="115.5" x14ac:dyDescent="0.3">
      <c r="B78" s="99"/>
      <c r="C78" s="96"/>
      <c r="D78" s="102"/>
      <c r="E78" s="1" t="s">
        <v>47</v>
      </c>
      <c r="F78" s="2" t="s">
        <v>54</v>
      </c>
      <c r="G78" s="2"/>
      <c r="H78" s="12" t="s">
        <v>147</v>
      </c>
      <c r="I78" s="12"/>
      <c r="J78" s="12"/>
      <c r="K78" s="20">
        <v>467.82</v>
      </c>
      <c r="L78" s="1">
        <v>0</v>
      </c>
      <c r="M78" s="1">
        <v>0</v>
      </c>
      <c r="N78" s="17">
        <f>4678224.239766/10000</f>
        <v>467.82242397659996</v>
      </c>
      <c r="O78" s="1"/>
    </row>
    <row r="79" spans="2:15" ht="99" x14ac:dyDescent="0.3">
      <c r="B79" s="99"/>
      <c r="C79" s="96"/>
      <c r="D79" s="103"/>
      <c r="E79" s="1" t="s">
        <v>48</v>
      </c>
      <c r="F79" s="2" t="s">
        <v>54</v>
      </c>
      <c r="G79" s="2"/>
      <c r="H79" s="12" t="s">
        <v>136</v>
      </c>
      <c r="I79" s="12"/>
      <c r="J79" s="12"/>
      <c r="K79" s="20">
        <v>70.39</v>
      </c>
      <c r="L79" s="1">
        <v>0</v>
      </c>
      <c r="M79" s="1">
        <v>0</v>
      </c>
      <c r="N79" s="17">
        <f>703933.582832/10000</f>
        <v>70.393358283200001</v>
      </c>
      <c r="O79" s="1"/>
    </row>
    <row r="80" spans="2:15" x14ac:dyDescent="0.3">
      <c r="B80" s="99"/>
      <c r="C80" s="96"/>
      <c r="D80" s="101" t="s">
        <v>83</v>
      </c>
      <c r="E80" s="1" t="s">
        <v>0</v>
      </c>
      <c r="F80" s="2" t="s">
        <v>54</v>
      </c>
      <c r="G80" s="2"/>
      <c r="H80" s="12" t="s">
        <v>124</v>
      </c>
      <c r="I80" s="12"/>
      <c r="J80" s="12"/>
      <c r="K80" s="24">
        <v>46.92</v>
      </c>
      <c r="L80" s="4"/>
      <c r="M80" s="4">
        <v>0</v>
      </c>
      <c r="N80" s="23">
        <f>469288.421328/10000</f>
        <v>46.9288421328</v>
      </c>
      <c r="O80" s="1"/>
    </row>
    <row r="81" spans="2:15" ht="33" x14ac:dyDescent="0.3">
      <c r="B81" s="99"/>
      <c r="C81" s="96"/>
      <c r="D81" s="102"/>
      <c r="E81" s="1" t="s">
        <v>1</v>
      </c>
      <c r="F81" s="2" t="s">
        <v>54</v>
      </c>
      <c r="G81" s="2"/>
      <c r="H81" s="12" t="s">
        <v>123</v>
      </c>
      <c r="I81" s="12"/>
      <c r="J81" s="12"/>
      <c r="K81" s="20">
        <v>1073.23</v>
      </c>
      <c r="L81" s="1">
        <v>0</v>
      </c>
      <c r="M81" s="1">
        <v>0</v>
      </c>
      <c r="N81" s="17">
        <f>10732368.032815/10000</f>
        <v>1073.2368032815</v>
      </c>
      <c r="O81" s="1"/>
    </row>
    <row r="82" spans="2:15" ht="49.5" x14ac:dyDescent="0.3">
      <c r="B82" s="99"/>
      <c r="C82" s="96"/>
      <c r="D82" s="103"/>
      <c r="E82" s="1" t="s">
        <v>2</v>
      </c>
      <c r="F82" s="2" t="s">
        <v>54</v>
      </c>
      <c r="G82" s="2"/>
      <c r="H82" s="12" t="s">
        <v>122</v>
      </c>
      <c r="I82" s="12"/>
      <c r="J82" s="12"/>
      <c r="K82" s="20">
        <v>196.12</v>
      </c>
      <c r="L82" s="1">
        <v>0</v>
      </c>
      <c r="M82" s="1">
        <v>0</v>
      </c>
      <c r="N82" s="17">
        <f>1961234.354338/10000</f>
        <v>196.12343543380001</v>
      </c>
      <c r="O82" s="1"/>
    </row>
    <row r="83" spans="2:15" x14ac:dyDescent="0.3">
      <c r="B83" s="99"/>
      <c r="C83" s="96"/>
      <c r="D83" s="4" t="s">
        <v>109</v>
      </c>
      <c r="E83" s="1" t="s">
        <v>121</v>
      </c>
      <c r="F83" s="2"/>
      <c r="G83" s="2" t="s">
        <v>54</v>
      </c>
      <c r="H83" s="12"/>
      <c r="I83" s="12"/>
      <c r="J83" s="12"/>
      <c r="K83" s="20">
        <v>0</v>
      </c>
      <c r="L83" s="1">
        <v>10761.006100000001</v>
      </c>
      <c r="M83" s="1">
        <v>0</v>
      </c>
      <c r="N83" s="23">
        <v>0</v>
      </c>
      <c r="O83" s="1"/>
    </row>
    <row r="84" spans="2:15" x14ac:dyDescent="0.3">
      <c r="B84" s="99"/>
      <c r="C84" s="96"/>
      <c r="D84" s="4" t="s">
        <v>110</v>
      </c>
      <c r="E84" s="1" t="s">
        <v>121</v>
      </c>
      <c r="F84" s="2"/>
      <c r="G84" s="2" t="s">
        <v>54</v>
      </c>
      <c r="H84" s="12"/>
      <c r="I84" s="12"/>
      <c r="J84" s="12"/>
      <c r="K84" s="20">
        <v>0</v>
      </c>
      <c r="L84" s="1">
        <v>9455.86</v>
      </c>
      <c r="M84" s="1">
        <v>0</v>
      </c>
      <c r="N84" s="23">
        <v>0</v>
      </c>
      <c r="O84" s="1"/>
    </row>
    <row r="85" spans="2:15" ht="66" x14ac:dyDescent="0.3">
      <c r="B85" s="99"/>
      <c r="C85" s="96"/>
      <c r="D85" s="4" t="s">
        <v>116</v>
      </c>
      <c r="E85" s="11" t="s">
        <v>158</v>
      </c>
      <c r="F85" s="2"/>
      <c r="G85" s="2"/>
      <c r="H85" s="14" t="s">
        <v>54</v>
      </c>
      <c r="I85" s="14"/>
      <c r="J85" s="14"/>
      <c r="K85" s="20">
        <v>0</v>
      </c>
      <c r="L85" s="1">
        <v>0</v>
      </c>
      <c r="M85" s="1">
        <v>1248.3865792257</v>
      </c>
      <c r="N85" s="23">
        <v>0</v>
      </c>
      <c r="O85" s="1"/>
    </row>
    <row r="86" spans="2:15" x14ac:dyDescent="0.3">
      <c r="B86" s="99"/>
      <c r="C86" s="96"/>
      <c r="D86" s="4" t="s">
        <v>117</v>
      </c>
      <c r="E86" s="11" t="s">
        <v>159</v>
      </c>
      <c r="F86" s="2"/>
      <c r="G86" s="2"/>
      <c r="H86" s="14" t="s">
        <v>54</v>
      </c>
      <c r="I86" s="14"/>
      <c r="J86" s="14"/>
      <c r="K86" s="20">
        <v>0</v>
      </c>
      <c r="L86" s="1">
        <v>0</v>
      </c>
      <c r="M86" s="1">
        <v>23491.2331306956</v>
      </c>
      <c r="N86" s="23">
        <v>0</v>
      </c>
      <c r="O86" s="1"/>
    </row>
    <row r="87" spans="2:15" x14ac:dyDescent="0.3">
      <c r="B87" s="99"/>
      <c r="C87" s="96"/>
      <c r="D87" s="1" t="s">
        <v>118</v>
      </c>
      <c r="E87" s="1" t="s">
        <v>160</v>
      </c>
      <c r="F87" s="2"/>
      <c r="G87" s="2"/>
      <c r="H87" s="14" t="s">
        <v>54</v>
      </c>
      <c r="I87" s="14"/>
      <c r="J87" s="14"/>
      <c r="K87" s="20">
        <v>0</v>
      </c>
      <c r="L87" s="1">
        <v>0</v>
      </c>
      <c r="M87" s="1">
        <v>293.17403692069996</v>
      </c>
      <c r="N87" s="17">
        <v>0</v>
      </c>
      <c r="O87" s="1"/>
    </row>
    <row r="88" spans="2:15" x14ac:dyDescent="0.3">
      <c r="B88" s="100"/>
      <c r="C88" s="97"/>
      <c r="D88" s="5" t="s">
        <v>119</v>
      </c>
      <c r="E88" s="11" t="s">
        <v>161</v>
      </c>
      <c r="F88" s="2"/>
      <c r="G88" s="2"/>
      <c r="H88" s="14" t="s">
        <v>54</v>
      </c>
      <c r="I88" s="14"/>
      <c r="J88" s="14"/>
      <c r="K88" s="20">
        <v>0</v>
      </c>
      <c r="L88" s="1">
        <v>0</v>
      </c>
      <c r="M88" s="1">
        <v>2402.1037549952998</v>
      </c>
      <c r="N88" s="17">
        <v>0</v>
      </c>
      <c r="O88" s="1"/>
    </row>
    <row r="89" spans="2:15" x14ac:dyDescent="0.3">
      <c r="B89" s="98" t="s">
        <v>106</v>
      </c>
      <c r="C89" s="1" t="s">
        <v>67</v>
      </c>
      <c r="D89" s="7" t="s">
        <v>99</v>
      </c>
      <c r="E89" s="1"/>
      <c r="F89" s="2"/>
      <c r="G89" s="2" t="s">
        <v>53</v>
      </c>
      <c r="H89" s="14"/>
      <c r="I89" s="14"/>
      <c r="J89" s="14"/>
      <c r="K89" s="20">
        <v>0</v>
      </c>
      <c r="L89" s="21">
        <v>0</v>
      </c>
      <c r="M89" s="21"/>
      <c r="N89" s="26"/>
      <c r="O89" s="1"/>
    </row>
    <row r="90" spans="2:15" x14ac:dyDescent="0.3">
      <c r="B90" s="99"/>
      <c r="C90" s="4" t="s">
        <v>68</v>
      </c>
      <c r="D90" s="10" t="s">
        <v>100</v>
      </c>
      <c r="E90" s="4"/>
      <c r="F90" s="27"/>
      <c r="G90" s="27" t="s">
        <v>53</v>
      </c>
      <c r="H90" s="28"/>
      <c r="I90" s="15"/>
      <c r="J90" s="15"/>
      <c r="K90" s="20">
        <v>0</v>
      </c>
      <c r="L90" s="21">
        <v>0</v>
      </c>
      <c r="M90" s="21"/>
      <c r="N90" s="26"/>
      <c r="O90" s="1"/>
    </row>
    <row r="91" spans="2:15" x14ac:dyDescent="0.3">
      <c r="B91" s="99"/>
      <c r="C91" s="93" t="s">
        <v>85</v>
      </c>
      <c r="D91" s="7" t="s">
        <v>179</v>
      </c>
      <c r="E91" s="1"/>
      <c r="F91" s="2" t="s">
        <v>53</v>
      </c>
      <c r="G91" s="2" t="s">
        <v>53</v>
      </c>
      <c r="H91" s="14" t="s">
        <v>53</v>
      </c>
      <c r="I91" s="14"/>
      <c r="J91" s="14"/>
      <c r="K91" s="4">
        <v>3047</v>
      </c>
      <c r="L91" s="21"/>
      <c r="M91" s="21">
        <v>15298.471262152299</v>
      </c>
      <c r="N91" s="23">
        <v>3257.7</v>
      </c>
      <c r="O91" s="1"/>
    </row>
    <row r="92" spans="2:15" x14ac:dyDescent="0.3">
      <c r="B92" s="99"/>
      <c r="C92" s="93"/>
      <c r="D92" s="7" t="s">
        <v>94</v>
      </c>
      <c r="E92" s="1"/>
      <c r="F92" s="2"/>
      <c r="G92" s="2" t="s">
        <v>53</v>
      </c>
      <c r="H92" s="14"/>
      <c r="I92" s="14"/>
      <c r="J92" s="14"/>
      <c r="K92" s="20">
        <v>0</v>
      </c>
      <c r="L92" s="21">
        <v>0</v>
      </c>
      <c r="M92" s="21">
        <v>0</v>
      </c>
      <c r="N92" s="26">
        <v>0</v>
      </c>
      <c r="O92" s="1"/>
    </row>
    <row r="93" spans="2:15" x14ac:dyDescent="0.3">
      <c r="B93" s="99"/>
      <c r="C93" s="93"/>
      <c r="D93" s="7" t="s">
        <v>95</v>
      </c>
      <c r="E93" s="1"/>
      <c r="F93" s="2"/>
      <c r="G93" s="2" t="s">
        <v>53</v>
      </c>
      <c r="H93" s="14" t="s">
        <v>53</v>
      </c>
      <c r="I93" s="14"/>
      <c r="J93" s="14"/>
      <c r="K93" s="20">
        <v>0</v>
      </c>
      <c r="L93" s="21">
        <v>0</v>
      </c>
      <c r="M93" s="21">
        <v>0</v>
      </c>
      <c r="N93" s="26">
        <v>0</v>
      </c>
      <c r="O93" s="1"/>
    </row>
    <row r="94" spans="2:15" x14ac:dyDescent="0.3">
      <c r="B94" s="99"/>
      <c r="C94" s="1" t="s">
        <v>102</v>
      </c>
      <c r="D94" s="4" t="s">
        <v>108</v>
      </c>
      <c r="E94" s="1"/>
      <c r="F94" s="2" t="s">
        <v>53</v>
      </c>
      <c r="G94" s="2" t="s">
        <v>53</v>
      </c>
      <c r="H94" s="14"/>
      <c r="I94" s="14"/>
      <c r="J94" s="14"/>
      <c r="K94" s="24">
        <v>1914.63</v>
      </c>
      <c r="L94" s="4">
        <v>1784.89</v>
      </c>
      <c r="M94" s="4">
        <v>0</v>
      </c>
      <c r="N94" s="23">
        <v>959.1</v>
      </c>
      <c r="O94" s="1"/>
    </row>
    <row r="95" spans="2:15" x14ac:dyDescent="0.3">
      <c r="B95" s="99"/>
      <c r="C95" s="1" t="s">
        <v>107</v>
      </c>
      <c r="D95" s="4"/>
      <c r="E95" s="1"/>
      <c r="F95" s="2"/>
      <c r="G95" s="2" t="s">
        <v>53</v>
      </c>
      <c r="H95" s="14"/>
      <c r="I95" s="14"/>
      <c r="J95" s="14"/>
      <c r="K95" s="20">
        <v>0</v>
      </c>
      <c r="L95" s="1">
        <v>194.5119</v>
      </c>
      <c r="M95" s="1">
        <v>0</v>
      </c>
      <c r="N95" s="17">
        <v>0</v>
      </c>
      <c r="O95" s="1"/>
    </row>
    <row r="96" spans="2:15" x14ac:dyDescent="0.3">
      <c r="B96" s="99"/>
      <c r="C96" s="101" t="s">
        <v>120</v>
      </c>
      <c r="D96" s="1" t="s">
        <v>162</v>
      </c>
      <c r="E96" s="1" t="s">
        <v>162</v>
      </c>
      <c r="F96" s="2"/>
      <c r="G96" s="2"/>
      <c r="H96" s="14" t="s">
        <v>53</v>
      </c>
      <c r="I96" s="14"/>
      <c r="J96" s="14"/>
      <c r="K96" s="20">
        <v>0</v>
      </c>
      <c r="L96" s="1">
        <v>0</v>
      </c>
      <c r="M96" s="1">
        <v>0</v>
      </c>
      <c r="N96" s="1">
        <v>623.37510297490007</v>
      </c>
      <c r="O96" s="1"/>
    </row>
    <row r="97" spans="2:15" ht="49.5" customHeight="1" x14ac:dyDescent="0.3">
      <c r="B97" s="99"/>
      <c r="C97" s="102"/>
      <c r="D97" s="29" t="s">
        <v>178</v>
      </c>
      <c r="E97" s="29" t="s">
        <v>178</v>
      </c>
      <c r="F97" s="2"/>
      <c r="G97" s="2"/>
      <c r="H97" s="14" t="s">
        <v>54</v>
      </c>
      <c r="I97" s="14"/>
      <c r="J97" s="14"/>
      <c r="K97" s="20">
        <v>0</v>
      </c>
      <c r="L97" s="1">
        <v>0</v>
      </c>
      <c r="M97" s="1"/>
      <c r="N97" s="1">
        <v>888.68</v>
      </c>
      <c r="O97" s="1"/>
    </row>
    <row r="98" spans="2:15" x14ac:dyDescent="0.3">
      <c r="B98" s="94" t="s">
        <v>69</v>
      </c>
      <c r="C98" s="93" t="s">
        <v>70</v>
      </c>
      <c r="D98" s="4" t="s">
        <v>104</v>
      </c>
      <c r="E98" s="4"/>
      <c r="F98" s="27" t="s">
        <v>53</v>
      </c>
      <c r="G98" s="27"/>
      <c r="H98" s="28"/>
      <c r="I98" s="28"/>
      <c r="J98" s="28"/>
      <c r="K98" s="24">
        <v>478.86</v>
      </c>
      <c r="L98" s="4">
        <v>0</v>
      </c>
      <c r="M98" s="4">
        <v>0</v>
      </c>
      <c r="N98" s="23">
        <f>1793425.171272/10000</f>
        <v>179.34251712720001</v>
      </c>
      <c r="O98" s="4"/>
    </row>
    <row r="99" spans="2:15" x14ac:dyDescent="0.3">
      <c r="B99" s="94"/>
      <c r="C99" s="93"/>
      <c r="D99" s="1" t="s">
        <v>103</v>
      </c>
      <c r="E99" s="1"/>
      <c r="F99" s="2" t="s">
        <v>53</v>
      </c>
      <c r="G99" s="2" t="s">
        <v>53</v>
      </c>
      <c r="H99" s="14" t="s">
        <v>53</v>
      </c>
      <c r="I99" s="14"/>
      <c r="J99" s="14"/>
      <c r="K99" s="24">
        <v>1086.1500000000001</v>
      </c>
      <c r="L99" s="4">
        <v>0</v>
      </c>
      <c r="M99" s="4">
        <v>1504.1210089596</v>
      </c>
      <c r="N99" s="23">
        <f>5529449.327885/10000</f>
        <v>552.94493278849995</v>
      </c>
      <c r="O99" s="1"/>
    </row>
    <row r="100" spans="2:15" x14ac:dyDescent="0.3">
      <c r="B100" s="94"/>
      <c r="C100" s="93"/>
      <c r="D100" s="1" t="s">
        <v>105</v>
      </c>
      <c r="E100" s="1"/>
      <c r="F100" s="2" t="s">
        <v>53</v>
      </c>
      <c r="G100" s="2" t="s">
        <v>53</v>
      </c>
      <c r="H100" s="14" t="s">
        <v>53</v>
      </c>
      <c r="I100" s="14"/>
      <c r="J100" s="14"/>
      <c r="K100" s="24">
        <v>369.13</v>
      </c>
      <c r="L100" s="4">
        <v>0</v>
      </c>
      <c r="M100" s="4">
        <v>436.62779788659998</v>
      </c>
      <c r="N100" s="23">
        <f>3230972.488228/10000</f>
        <v>323.0972488228</v>
      </c>
      <c r="O100" s="1"/>
    </row>
    <row r="101" spans="2:15" x14ac:dyDescent="0.3">
      <c r="B101" s="94"/>
      <c r="C101" s="1" t="s">
        <v>71</v>
      </c>
      <c r="D101" s="1" t="s">
        <v>111</v>
      </c>
      <c r="E101" s="1"/>
      <c r="F101" s="2"/>
      <c r="G101" s="2" t="s">
        <v>53</v>
      </c>
      <c r="H101" s="14" t="s">
        <v>53</v>
      </c>
      <c r="I101" s="14"/>
      <c r="J101" s="14"/>
      <c r="K101" s="24">
        <v>0</v>
      </c>
      <c r="L101" s="4">
        <v>0</v>
      </c>
      <c r="M101" s="4">
        <v>514.33631569900001</v>
      </c>
      <c r="N101" s="26"/>
      <c r="O101" s="1"/>
    </row>
    <row r="102" spans="2:15" x14ac:dyDescent="0.3">
      <c r="B102" s="94"/>
      <c r="C102" s="4" t="s">
        <v>112</v>
      </c>
      <c r="D102" s="1"/>
      <c r="E102" s="1" t="s">
        <v>163</v>
      </c>
      <c r="F102" s="2"/>
      <c r="G102" s="2" t="s">
        <v>53</v>
      </c>
      <c r="H102" s="14"/>
      <c r="I102" s="14"/>
      <c r="J102" s="14"/>
      <c r="K102" s="20"/>
      <c r="L102" s="1">
        <v>0</v>
      </c>
      <c r="M102" s="1">
        <v>0</v>
      </c>
      <c r="N102" s="17"/>
      <c r="O102" s="1"/>
    </row>
    <row r="103" spans="2:15" x14ac:dyDescent="0.3">
      <c r="B103" s="94"/>
      <c r="C103" s="4" t="s">
        <v>113</v>
      </c>
      <c r="D103" s="1"/>
      <c r="E103" s="1" t="s">
        <v>165</v>
      </c>
      <c r="F103" s="2"/>
      <c r="G103" s="2" t="s">
        <v>53</v>
      </c>
      <c r="H103" s="14"/>
      <c r="I103" s="14"/>
      <c r="J103" s="14"/>
      <c r="K103" s="20"/>
      <c r="L103" s="1">
        <v>0</v>
      </c>
      <c r="M103" s="1">
        <v>0</v>
      </c>
      <c r="N103" s="17"/>
      <c r="O103" s="1"/>
    </row>
    <row r="104" spans="2:15" x14ac:dyDescent="0.3">
      <c r="B104" s="94"/>
      <c r="C104" s="4" t="s">
        <v>114</v>
      </c>
      <c r="D104" s="1"/>
      <c r="E104" s="1" t="s">
        <v>164</v>
      </c>
      <c r="F104" s="2"/>
      <c r="G104" s="2" t="s">
        <v>53</v>
      </c>
      <c r="H104" s="14"/>
      <c r="I104" s="14"/>
      <c r="J104" s="14"/>
      <c r="K104" s="20"/>
      <c r="L104" s="1">
        <v>0</v>
      </c>
      <c r="M104" s="1">
        <v>0</v>
      </c>
      <c r="N104" s="17"/>
      <c r="O104" s="1"/>
    </row>
    <row r="105" spans="2:15" x14ac:dyDescent="0.3">
      <c r="B105" s="94"/>
      <c r="C105" s="4" t="s">
        <v>115</v>
      </c>
      <c r="D105" s="1"/>
      <c r="E105" s="1" t="s">
        <v>166</v>
      </c>
      <c r="F105" s="2"/>
      <c r="G105" s="2" t="s">
        <v>53</v>
      </c>
      <c r="H105" s="14" t="s">
        <v>53</v>
      </c>
      <c r="I105" s="14"/>
      <c r="J105" s="14"/>
      <c r="K105" s="20"/>
      <c r="L105" s="1">
        <v>0</v>
      </c>
      <c r="M105" s="1">
        <v>0</v>
      </c>
      <c r="N105" s="17"/>
      <c r="O105" s="1"/>
    </row>
  </sheetData>
  <mergeCells count="15">
    <mergeCell ref="F2:H2"/>
    <mergeCell ref="C98:C100"/>
    <mergeCell ref="B98:B105"/>
    <mergeCell ref="C11:C88"/>
    <mergeCell ref="B4:B88"/>
    <mergeCell ref="D33:D79"/>
    <mergeCell ref="D6:D8"/>
    <mergeCell ref="D11:D17"/>
    <mergeCell ref="C4:C8"/>
    <mergeCell ref="D80:D82"/>
    <mergeCell ref="D18:D32"/>
    <mergeCell ref="C91:C93"/>
    <mergeCell ref="C9:C10"/>
    <mergeCell ref="B89:B97"/>
    <mergeCell ref="C96:C9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Componentes EEP</vt:lpstr>
      <vt:lpstr>EEP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Alfonso Buitrago Torres</dc:creator>
  <cp:lastModifiedBy>catalina silva moreno</cp:lastModifiedBy>
  <dcterms:created xsi:type="dcterms:W3CDTF">2018-09-03T20:56:52Z</dcterms:created>
  <dcterms:modified xsi:type="dcterms:W3CDTF">2021-09-08T17:31:08Z</dcterms:modified>
</cp:coreProperties>
</file>